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risdiskstation\Interns\Case Management\Co-Sponsorships\PROGRAM DOCUMENTS\FINANCIAL LITERACY MODEL\"/>
    </mc:Choice>
  </mc:AlternateContent>
  <bookViews>
    <workbookView xWindow="0" yWindow="0" windowWidth="20490" windowHeight="7275"/>
  </bookViews>
  <sheets>
    <sheet name="Basic inputs" sheetId="3" r:id="rId1"/>
    <sheet name="Budget (Base)" sheetId="12" r:id="rId2"/>
    <sheet name="Budget (Blank)" sheetId="16" r:id="rId3"/>
    <sheet name="Monthly changes" sheetId="17" r:id="rId4"/>
    <sheet name="Calculations (INTERNAL)" sheetId="4" r:id="rId5"/>
  </sheets>
  <definedNames>
    <definedName name="January" localSheetId="1">'Budget (Base)'!$D$5:$O$5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0" i="12" l="1"/>
  <c r="D18" i="3"/>
  <c r="E9" i="12" l="1"/>
  <c r="F9" i="12"/>
  <c r="G9" i="12"/>
  <c r="H9" i="12"/>
  <c r="I9" i="12"/>
  <c r="J9" i="12"/>
  <c r="K9" i="12"/>
  <c r="L9" i="12"/>
  <c r="M9" i="12"/>
  <c r="N9" i="12"/>
  <c r="O9" i="12"/>
  <c r="Q9" i="12"/>
  <c r="R9" i="12"/>
  <c r="S9" i="12"/>
  <c r="T9" i="12"/>
  <c r="U9" i="12"/>
  <c r="V9" i="12"/>
  <c r="W9" i="12"/>
  <c r="X9" i="12"/>
  <c r="Y9" i="12"/>
  <c r="Z9" i="12"/>
  <c r="AA9" i="12"/>
  <c r="AB9" i="12"/>
  <c r="AD9" i="12"/>
  <c r="AE9" i="12"/>
  <c r="AF9" i="12"/>
  <c r="AG9" i="12"/>
  <c r="AH9" i="12"/>
  <c r="AI9" i="12"/>
  <c r="AJ9" i="12"/>
  <c r="AK9" i="12"/>
  <c r="AL9" i="12"/>
  <c r="AM9" i="12"/>
  <c r="AN9" i="12"/>
  <c r="AO9" i="12"/>
  <c r="D9" i="12"/>
  <c r="AO40" i="16" l="1"/>
  <c r="AO42" i="16" s="1"/>
  <c r="AN40" i="16"/>
  <c r="AN42" i="16" s="1"/>
  <c r="AM40" i="16"/>
  <c r="AM42" i="16" s="1"/>
  <c r="AL40" i="16"/>
  <c r="AL42" i="16" s="1"/>
  <c r="AK40" i="16"/>
  <c r="AK42" i="16" s="1"/>
  <c r="AJ40" i="16"/>
  <c r="AJ42" i="16" s="1"/>
  <c r="AI40" i="16"/>
  <c r="AI42" i="16" s="1"/>
  <c r="AH40" i="16"/>
  <c r="AH42" i="16" s="1"/>
  <c r="AG40" i="16"/>
  <c r="AG42" i="16" s="1"/>
  <c r="AF40" i="16"/>
  <c r="AF42" i="16" s="1"/>
  <c r="AE40" i="16"/>
  <c r="AE42" i="16" s="1"/>
  <c r="AD40" i="16"/>
  <c r="AD42" i="16" s="1"/>
  <c r="AB40" i="16"/>
  <c r="AB42" i="16" s="1"/>
  <c r="AA40" i="16"/>
  <c r="AA42" i="16" s="1"/>
  <c r="Z40" i="16"/>
  <c r="Z42" i="16" s="1"/>
  <c r="Y40" i="16"/>
  <c r="Y42" i="16" s="1"/>
  <c r="X40" i="16"/>
  <c r="X42" i="16" s="1"/>
  <c r="W40" i="16"/>
  <c r="W42" i="16" s="1"/>
  <c r="V40" i="16"/>
  <c r="V42" i="16" s="1"/>
  <c r="U40" i="16"/>
  <c r="U42" i="16" s="1"/>
  <c r="T40" i="16"/>
  <c r="T42" i="16" s="1"/>
  <c r="S40" i="16"/>
  <c r="S42" i="16" s="1"/>
  <c r="Q40" i="16"/>
  <c r="Q42" i="16" s="1"/>
  <c r="O40" i="16"/>
  <c r="O42" i="16" s="1"/>
  <c r="N40" i="16"/>
  <c r="N42" i="16" s="1"/>
  <c r="M40" i="16"/>
  <c r="M42" i="16" s="1"/>
  <c r="L40" i="16"/>
  <c r="L42" i="16" s="1"/>
  <c r="K40" i="16"/>
  <c r="K42" i="16" s="1"/>
  <c r="J40" i="16"/>
  <c r="J42" i="16" s="1"/>
  <c r="I40" i="16"/>
  <c r="I42" i="16" s="1"/>
  <c r="H40" i="16"/>
  <c r="H42" i="16" s="1"/>
  <c r="G40" i="16"/>
  <c r="G42" i="16" s="1"/>
  <c r="F40" i="16"/>
  <c r="F42" i="16" s="1"/>
  <c r="E40" i="16"/>
  <c r="E42" i="16" s="1"/>
  <c r="E35" i="12"/>
  <c r="F35" i="12"/>
  <c r="G35" i="12"/>
  <c r="H35" i="12"/>
  <c r="I35" i="12"/>
  <c r="J35" i="12"/>
  <c r="K35" i="12"/>
  <c r="L35" i="12"/>
  <c r="M35" i="12"/>
  <c r="N35" i="12"/>
  <c r="O35" i="12"/>
  <c r="H35" i="17" s="1"/>
  <c r="Q35" i="12"/>
  <c r="R35" i="12"/>
  <c r="S35" i="12"/>
  <c r="T35" i="12"/>
  <c r="U35" i="12"/>
  <c r="V35" i="12"/>
  <c r="W35" i="12"/>
  <c r="X35" i="12"/>
  <c r="Y35" i="12"/>
  <c r="Z35" i="12"/>
  <c r="AA35" i="12"/>
  <c r="AB35" i="12"/>
  <c r="AD35" i="12"/>
  <c r="AE35" i="12"/>
  <c r="AF35" i="12"/>
  <c r="AG35" i="12"/>
  <c r="AH35" i="12"/>
  <c r="AI35" i="12"/>
  <c r="AJ35" i="12"/>
  <c r="AK35" i="12"/>
  <c r="AL35" i="12"/>
  <c r="AM35" i="12"/>
  <c r="AN35" i="12"/>
  <c r="AO35" i="12"/>
  <c r="D35" i="12"/>
  <c r="AE25" i="12"/>
  <c r="AF25" i="12"/>
  <c r="AG25" i="12"/>
  <c r="AH25" i="12"/>
  <c r="AI25" i="12"/>
  <c r="AJ25" i="12"/>
  <c r="AK25" i="12"/>
  <c r="AL25" i="12"/>
  <c r="AM25" i="12"/>
  <c r="AN25" i="12"/>
  <c r="AO25" i="12"/>
  <c r="AD25" i="12"/>
  <c r="R25" i="12"/>
  <c r="S25" i="12"/>
  <c r="T25" i="12"/>
  <c r="U25" i="12"/>
  <c r="V25" i="12"/>
  <c r="W25" i="12"/>
  <c r="X25" i="12"/>
  <c r="Y25" i="12"/>
  <c r="Z25" i="12"/>
  <c r="AA25" i="12"/>
  <c r="AB25" i="12"/>
  <c r="Q25" i="12"/>
  <c r="D25" i="12"/>
  <c r="E25" i="12"/>
  <c r="F25" i="12"/>
  <c r="G25" i="12"/>
  <c r="H25" i="12"/>
  <c r="I25" i="12"/>
  <c r="J25" i="12"/>
  <c r="K25" i="12"/>
  <c r="L25" i="12"/>
  <c r="M25" i="12"/>
  <c r="N25" i="12"/>
  <c r="O25" i="12"/>
  <c r="AE7" i="12"/>
  <c r="AF7" i="12"/>
  <c r="AG7" i="12"/>
  <c r="AH7" i="12"/>
  <c r="AI7" i="12"/>
  <c r="AJ7" i="12"/>
  <c r="AK7" i="12"/>
  <c r="AL7" i="12"/>
  <c r="AM7" i="12"/>
  <c r="AN7" i="12"/>
  <c r="AO7" i="12"/>
  <c r="AD7" i="12"/>
  <c r="R7" i="12"/>
  <c r="S7" i="12"/>
  <c r="T7" i="12"/>
  <c r="U7" i="12"/>
  <c r="V7" i="12"/>
  <c r="W7" i="12"/>
  <c r="X7" i="12"/>
  <c r="Y7" i="12"/>
  <c r="Z7" i="12"/>
  <c r="AA7" i="12"/>
  <c r="AB7" i="12"/>
  <c r="Q7" i="12"/>
  <c r="E7" i="12"/>
  <c r="F7" i="12"/>
  <c r="G7" i="12"/>
  <c r="H7" i="12"/>
  <c r="I7" i="12"/>
  <c r="J7" i="12"/>
  <c r="K7" i="12"/>
  <c r="L7" i="12"/>
  <c r="M7" i="12"/>
  <c r="N7" i="12"/>
  <c r="O7" i="12"/>
  <c r="D7" i="12"/>
  <c r="E5" i="12"/>
  <c r="F5" i="12" s="1"/>
  <c r="J36" i="17"/>
  <c r="D36" i="12"/>
  <c r="C58" i="17"/>
  <c r="AE31" i="12"/>
  <c r="AF31" i="12"/>
  <c r="AG31" i="12"/>
  <c r="AH31" i="12"/>
  <c r="AI31" i="12"/>
  <c r="AJ31" i="12"/>
  <c r="AK31" i="12"/>
  <c r="AL31" i="12"/>
  <c r="AM31" i="12"/>
  <c r="AN31" i="12"/>
  <c r="AO31" i="12"/>
  <c r="AD31" i="12"/>
  <c r="R31" i="12"/>
  <c r="S31" i="12"/>
  <c r="T31" i="12"/>
  <c r="U31" i="12"/>
  <c r="V31" i="12"/>
  <c r="W31" i="12"/>
  <c r="X31" i="12"/>
  <c r="Y31" i="12"/>
  <c r="Z31" i="12"/>
  <c r="AA31" i="12"/>
  <c r="AB31" i="12"/>
  <c r="Q31" i="12"/>
  <c r="E31" i="12"/>
  <c r="F31" i="12"/>
  <c r="G31" i="12"/>
  <c r="H31" i="12"/>
  <c r="I31" i="12"/>
  <c r="J31" i="12"/>
  <c r="K31" i="12"/>
  <c r="L31" i="12"/>
  <c r="M31" i="12"/>
  <c r="N31" i="12"/>
  <c r="O31" i="12"/>
  <c r="H31" i="17" s="1"/>
  <c r="D31" i="12"/>
  <c r="AE36" i="12"/>
  <c r="AF36" i="12"/>
  <c r="AG36" i="12"/>
  <c r="AH36" i="12"/>
  <c r="AI36" i="12"/>
  <c r="AJ36" i="12"/>
  <c r="AK36" i="12"/>
  <c r="AL36" i="12"/>
  <c r="AM36" i="12"/>
  <c r="AN36" i="12"/>
  <c r="AO36" i="12"/>
  <c r="AD36" i="12"/>
  <c r="R36" i="12"/>
  <c r="S36" i="12"/>
  <c r="T36" i="12"/>
  <c r="U36" i="12"/>
  <c r="V36" i="12"/>
  <c r="W36" i="12"/>
  <c r="X36" i="12"/>
  <c r="Y36" i="12"/>
  <c r="Z36" i="12"/>
  <c r="AA36" i="12"/>
  <c r="AB36" i="12"/>
  <c r="Q36" i="12"/>
  <c r="E36" i="12"/>
  <c r="F36" i="12"/>
  <c r="G36" i="12"/>
  <c r="H36" i="12"/>
  <c r="I36" i="12"/>
  <c r="O36" i="12"/>
  <c r="H36" i="17"/>
  <c r="J36" i="12"/>
  <c r="K36" i="12"/>
  <c r="L36" i="12"/>
  <c r="M36" i="12"/>
  <c r="N36" i="12"/>
  <c r="D76" i="3"/>
  <c r="D17" i="3"/>
  <c r="G72" i="4" s="1"/>
  <c r="AE30" i="12"/>
  <c r="AF30" i="12"/>
  <c r="AG30" i="12"/>
  <c r="AH30" i="12"/>
  <c r="AI30" i="12"/>
  <c r="AJ30" i="12"/>
  <c r="AK30" i="12"/>
  <c r="AL30" i="12"/>
  <c r="AM30" i="12"/>
  <c r="AN30" i="12"/>
  <c r="AO30" i="12"/>
  <c r="AD30" i="12"/>
  <c r="R30" i="12"/>
  <c r="S30" i="12"/>
  <c r="T30" i="12"/>
  <c r="U30" i="12"/>
  <c r="V30" i="12"/>
  <c r="W30" i="12"/>
  <c r="X30" i="12"/>
  <c r="Y30" i="12"/>
  <c r="Z30" i="12"/>
  <c r="AA30" i="12"/>
  <c r="AB30" i="12"/>
  <c r="Q30" i="12"/>
  <c r="E30" i="12"/>
  <c r="F30" i="12"/>
  <c r="G30" i="12"/>
  <c r="H30" i="12"/>
  <c r="I30" i="12"/>
  <c r="J30" i="12"/>
  <c r="K30" i="12"/>
  <c r="L30" i="12"/>
  <c r="M30" i="12"/>
  <c r="N30" i="12"/>
  <c r="O30" i="12"/>
  <c r="D30" i="12"/>
  <c r="D29" i="12"/>
  <c r="F17" i="12"/>
  <c r="J15" i="17" s="1"/>
  <c r="E27" i="17"/>
  <c r="J10" i="17" s="1"/>
  <c r="H53" i="4"/>
  <c r="H54" i="4" s="1"/>
  <c r="H57" i="4" s="1"/>
  <c r="H55" i="4"/>
  <c r="H62" i="4" s="1"/>
  <c r="H63" i="4"/>
  <c r="H65" i="4"/>
  <c r="H67" i="4"/>
  <c r="H72" i="4"/>
  <c r="H76" i="4"/>
  <c r="J20" i="17"/>
  <c r="J9" i="17"/>
  <c r="J17" i="17"/>
  <c r="J18" i="17"/>
  <c r="J19" i="17"/>
  <c r="J22" i="17"/>
  <c r="J23" i="17"/>
  <c r="J24" i="17"/>
  <c r="J25" i="17"/>
  <c r="J26" i="17"/>
  <c r="J27" i="17"/>
  <c r="J28" i="17"/>
  <c r="J29" i="17"/>
  <c r="J30" i="17"/>
  <c r="J31" i="17"/>
  <c r="J32" i="17"/>
  <c r="J33" i="17"/>
  <c r="J34" i="17"/>
  <c r="J35" i="17"/>
  <c r="G33" i="12"/>
  <c r="G34" i="12"/>
  <c r="H37" i="17"/>
  <c r="H38" i="17"/>
  <c r="H39" i="17"/>
  <c r="AE32" i="12"/>
  <c r="AF32" i="12"/>
  <c r="AG32" i="12"/>
  <c r="AH32" i="12"/>
  <c r="AI32" i="12"/>
  <c r="AJ32" i="12"/>
  <c r="AK32" i="12"/>
  <c r="AL32" i="12"/>
  <c r="AM32" i="12"/>
  <c r="AN32" i="12"/>
  <c r="AO32" i="12"/>
  <c r="AD32" i="12"/>
  <c r="R32" i="12"/>
  <c r="S32" i="12"/>
  <c r="T32" i="12"/>
  <c r="U32" i="12"/>
  <c r="V32" i="12"/>
  <c r="W32" i="12"/>
  <c r="X32" i="12"/>
  <c r="Y32" i="12"/>
  <c r="Z32" i="12"/>
  <c r="AA32" i="12"/>
  <c r="AB32" i="12"/>
  <c r="Q32" i="12"/>
  <c r="E32" i="12"/>
  <c r="F32" i="12"/>
  <c r="G32" i="12"/>
  <c r="H32" i="12"/>
  <c r="I32" i="12"/>
  <c r="O32" i="12"/>
  <c r="H32" i="17" s="1"/>
  <c r="J32" i="12"/>
  <c r="K32" i="12"/>
  <c r="L32" i="12"/>
  <c r="M32" i="12"/>
  <c r="N32" i="12"/>
  <c r="D32" i="12"/>
  <c r="G20" i="12"/>
  <c r="H59" i="4"/>
  <c r="G53" i="4"/>
  <c r="G54" i="4" s="1"/>
  <c r="G57" i="4" s="1"/>
  <c r="E34" i="3"/>
  <c r="C27" i="17" s="1"/>
  <c r="E26" i="12"/>
  <c r="F26" i="12"/>
  <c r="G26" i="12"/>
  <c r="H26" i="12"/>
  <c r="I26" i="12"/>
  <c r="O26" i="12"/>
  <c r="H26" i="17" s="1"/>
  <c r="J26" i="12"/>
  <c r="K26" i="12"/>
  <c r="L26" i="12"/>
  <c r="M26" i="12"/>
  <c r="N26" i="12"/>
  <c r="D26" i="12"/>
  <c r="I20" i="12"/>
  <c r="H29" i="17"/>
  <c r="H12" i="17"/>
  <c r="C65" i="17"/>
  <c r="C67" i="17"/>
  <c r="C68" i="17"/>
  <c r="C66" i="17"/>
  <c r="C62" i="17"/>
  <c r="C63" i="17"/>
  <c r="C61" i="17"/>
  <c r="C49" i="17"/>
  <c r="C50" i="17"/>
  <c r="C51" i="17"/>
  <c r="C52" i="17"/>
  <c r="C53" i="17"/>
  <c r="C54" i="17"/>
  <c r="C55" i="17"/>
  <c r="C56" i="17"/>
  <c r="C57" i="17"/>
  <c r="C59" i="17"/>
  <c r="C60" i="17"/>
  <c r="C40" i="17"/>
  <c r="C41" i="17"/>
  <c r="C42" i="17"/>
  <c r="C43" i="17"/>
  <c r="C44" i="17"/>
  <c r="E52" i="3"/>
  <c r="C45" i="17" s="1"/>
  <c r="C39" i="17"/>
  <c r="C28" i="17"/>
  <c r="C29" i="17"/>
  <c r="C30" i="17"/>
  <c r="C31" i="17"/>
  <c r="C32" i="17"/>
  <c r="C33" i="17"/>
  <c r="C34" i="17"/>
  <c r="C35" i="17"/>
  <c r="E43" i="3"/>
  <c r="C36" i="17" s="1"/>
  <c r="C26" i="17"/>
  <c r="C23" i="17"/>
  <c r="C18" i="17"/>
  <c r="C19" i="17"/>
  <c r="C20" i="17"/>
  <c r="C17" i="17"/>
  <c r="C10" i="17"/>
  <c r="C11" i="17"/>
  <c r="C12" i="17"/>
  <c r="C14" i="17"/>
  <c r="C9" i="17"/>
  <c r="N13" i="4"/>
  <c r="N14" i="4" s="1"/>
  <c r="E5" i="16"/>
  <c r="F5" i="16" s="1"/>
  <c r="G5" i="16" s="1"/>
  <c r="H5" i="16" s="1"/>
  <c r="I5" i="16" s="1"/>
  <c r="J5" i="16" s="1"/>
  <c r="K5" i="16" s="1"/>
  <c r="L5" i="16" s="1"/>
  <c r="M5" i="16" s="1"/>
  <c r="N5" i="16" s="1"/>
  <c r="O5" i="16" s="1"/>
  <c r="Q5" i="16" s="1"/>
  <c r="R5" i="16" s="1"/>
  <c r="S5" i="16" s="1"/>
  <c r="T5" i="16" s="1"/>
  <c r="U5" i="16" s="1"/>
  <c r="V5" i="16" s="1"/>
  <c r="W5" i="16" s="1"/>
  <c r="X5" i="16" s="1"/>
  <c r="Y5" i="16" s="1"/>
  <c r="Z5" i="16" s="1"/>
  <c r="AA5" i="16" s="1"/>
  <c r="AB5" i="16" s="1"/>
  <c r="AD5" i="16" s="1"/>
  <c r="AE5" i="16" s="1"/>
  <c r="AF5" i="16" s="1"/>
  <c r="AG5" i="16" s="1"/>
  <c r="AH5" i="16" s="1"/>
  <c r="AI5" i="16" s="1"/>
  <c r="AJ5" i="16" s="1"/>
  <c r="AK5" i="16" s="1"/>
  <c r="AL5" i="16" s="1"/>
  <c r="AM5" i="16" s="1"/>
  <c r="AN5" i="16" s="1"/>
  <c r="AO5" i="16" s="1"/>
  <c r="R40" i="16"/>
  <c r="R42" i="16" s="1"/>
  <c r="D40" i="16"/>
  <c r="D42" i="16" s="1"/>
  <c r="AD5" i="12"/>
  <c r="AE5" i="12" s="1"/>
  <c r="L37" i="4"/>
  <c r="AE20" i="12"/>
  <c r="AE8" i="12"/>
  <c r="AE17" i="12"/>
  <c r="AE18" i="12"/>
  <c r="AE19" i="12"/>
  <c r="AE23" i="12"/>
  <c r="AE24" i="12"/>
  <c r="AE26" i="12"/>
  <c r="AE27" i="12"/>
  <c r="AE28" i="12"/>
  <c r="AE33" i="12"/>
  <c r="AE34" i="12"/>
  <c r="G55" i="4"/>
  <c r="G62" i="4" s="1"/>
  <c r="G65" i="4"/>
  <c r="G67" i="4"/>
  <c r="AF20" i="12"/>
  <c r="AF8" i="12"/>
  <c r="AF17" i="12"/>
  <c r="AF18" i="12"/>
  <c r="AF19" i="12"/>
  <c r="AF23" i="12"/>
  <c r="AF24" i="12"/>
  <c r="AF26" i="12"/>
  <c r="AF27" i="12"/>
  <c r="AF28" i="12"/>
  <c r="AF33" i="12"/>
  <c r="AF34" i="12"/>
  <c r="AG20" i="12"/>
  <c r="AG8" i="12"/>
  <c r="AG17" i="12"/>
  <c r="AG18" i="12"/>
  <c r="AG19" i="12"/>
  <c r="AG23" i="12"/>
  <c r="AG24" i="12"/>
  <c r="AG26" i="12"/>
  <c r="AG27" i="12"/>
  <c r="AG28" i="12"/>
  <c r="AG33" i="12"/>
  <c r="AG34" i="12"/>
  <c r="AH20" i="12"/>
  <c r="AH8" i="12"/>
  <c r="AH17" i="12"/>
  <c r="AH18" i="12"/>
  <c r="AH19" i="12"/>
  <c r="AH23" i="12"/>
  <c r="AH24" i="12"/>
  <c r="AH26" i="12"/>
  <c r="AH27" i="12"/>
  <c r="AH28" i="12"/>
  <c r="AH33" i="12"/>
  <c r="AH34" i="12"/>
  <c r="AI20" i="12"/>
  <c r="AI8" i="12"/>
  <c r="AI17" i="12"/>
  <c r="AI18" i="12"/>
  <c r="AI19" i="12"/>
  <c r="AI23" i="12"/>
  <c r="AI24" i="12"/>
  <c r="AI26" i="12"/>
  <c r="AI27" i="12"/>
  <c r="AI28" i="12"/>
  <c r="AI33" i="12"/>
  <c r="AI34" i="12"/>
  <c r="AJ20" i="12"/>
  <c r="AJ8" i="12"/>
  <c r="AJ17" i="12"/>
  <c r="AJ18" i="12"/>
  <c r="AJ19" i="12"/>
  <c r="AJ23" i="12"/>
  <c r="AJ24" i="12"/>
  <c r="AJ26" i="12"/>
  <c r="AJ27" i="12"/>
  <c r="AJ28" i="12"/>
  <c r="AJ33" i="12"/>
  <c r="AJ34" i="12"/>
  <c r="AK20" i="12"/>
  <c r="AK8" i="12"/>
  <c r="AK17" i="12"/>
  <c r="AK18" i="12"/>
  <c r="AK19" i="12"/>
  <c r="AK23" i="12"/>
  <c r="AK24" i="12"/>
  <c r="AK26" i="12"/>
  <c r="AK27" i="12"/>
  <c r="AK28" i="12"/>
  <c r="AK33" i="12"/>
  <c r="AK34" i="12"/>
  <c r="AL20" i="12"/>
  <c r="AL8" i="12"/>
  <c r="AL17" i="12"/>
  <c r="AL18" i="12"/>
  <c r="AL19" i="12"/>
  <c r="AL23" i="12"/>
  <c r="AL24" i="12"/>
  <c r="AL26" i="12"/>
  <c r="AL27" i="12"/>
  <c r="AL28" i="12"/>
  <c r="AL33" i="12"/>
  <c r="AL34" i="12"/>
  <c r="AM20" i="12"/>
  <c r="AM8" i="12"/>
  <c r="AM17" i="12"/>
  <c r="AM18" i="12"/>
  <c r="AM19" i="12"/>
  <c r="AM23" i="12"/>
  <c r="AM24" i="12"/>
  <c r="AM26" i="12"/>
  <c r="AM27" i="12"/>
  <c r="AM28" i="12"/>
  <c r="AM33" i="12"/>
  <c r="AM34" i="12"/>
  <c r="AN20" i="12"/>
  <c r="AN8" i="12"/>
  <c r="AN17" i="12"/>
  <c r="AN18" i="12"/>
  <c r="AN19" i="12"/>
  <c r="AN23" i="12"/>
  <c r="AN24" i="12"/>
  <c r="AN26" i="12"/>
  <c r="AN27" i="12"/>
  <c r="AN28" i="12"/>
  <c r="AN33" i="12"/>
  <c r="AN34" i="12"/>
  <c r="AO20" i="12"/>
  <c r="AO8" i="12"/>
  <c r="AO17" i="12"/>
  <c r="AO18" i="12"/>
  <c r="AO19" i="12"/>
  <c r="AO23" i="12"/>
  <c r="AO24" i="12"/>
  <c r="AO26" i="12"/>
  <c r="AO27" i="12"/>
  <c r="AO28" i="12"/>
  <c r="AO33" i="12"/>
  <c r="AO34" i="12"/>
  <c r="AD20" i="12"/>
  <c r="AD21" i="12"/>
  <c r="AD8" i="12"/>
  <c r="AD17" i="12"/>
  <c r="AD18" i="12"/>
  <c r="AD19" i="12"/>
  <c r="AD23" i="12"/>
  <c r="AD24" i="12"/>
  <c r="AD26" i="12"/>
  <c r="AD27" i="12"/>
  <c r="AD28" i="12"/>
  <c r="AD33" i="12"/>
  <c r="AD34" i="12"/>
  <c r="R20" i="12"/>
  <c r="R17" i="12"/>
  <c r="R18" i="12"/>
  <c r="R19" i="12"/>
  <c r="R23" i="12"/>
  <c r="R24" i="12"/>
  <c r="R26" i="12"/>
  <c r="R27" i="12"/>
  <c r="R28" i="12"/>
  <c r="R33" i="12"/>
  <c r="R34" i="12"/>
  <c r="S20" i="12"/>
  <c r="S17" i="12"/>
  <c r="S18" i="12"/>
  <c r="S19" i="12"/>
  <c r="S23" i="12"/>
  <c r="S24" i="12"/>
  <c r="S26" i="12"/>
  <c r="S27" i="12"/>
  <c r="S28" i="12"/>
  <c r="S33" i="12"/>
  <c r="S34" i="12"/>
  <c r="T20" i="12"/>
  <c r="T17" i="12"/>
  <c r="T18" i="12"/>
  <c r="T19" i="12"/>
  <c r="T23" i="12"/>
  <c r="T24" i="12"/>
  <c r="T26" i="12"/>
  <c r="T27" i="12"/>
  <c r="T28" i="12"/>
  <c r="T33" i="12"/>
  <c r="T34" i="12"/>
  <c r="U20" i="12"/>
  <c r="U17" i="12"/>
  <c r="U18" i="12"/>
  <c r="U19" i="12"/>
  <c r="U23" i="12"/>
  <c r="U24" i="12"/>
  <c r="U26" i="12"/>
  <c r="U27" i="12"/>
  <c r="U28" i="12"/>
  <c r="U33" i="12"/>
  <c r="U34" i="12"/>
  <c r="V20" i="12"/>
  <c r="V17" i="12"/>
  <c r="V18" i="12"/>
  <c r="V19" i="12"/>
  <c r="V23" i="12"/>
  <c r="V24" i="12"/>
  <c r="V26" i="12"/>
  <c r="V27" i="12"/>
  <c r="V28" i="12"/>
  <c r="V33" i="12"/>
  <c r="V34" i="12"/>
  <c r="W20" i="12"/>
  <c r="W17" i="12"/>
  <c r="W18" i="12"/>
  <c r="W19" i="12"/>
  <c r="W23" i="12"/>
  <c r="W24" i="12"/>
  <c r="W26" i="12"/>
  <c r="W27" i="12"/>
  <c r="W28" i="12"/>
  <c r="W33" i="12"/>
  <c r="W34" i="12"/>
  <c r="X20" i="12"/>
  <c r="X17" i="12"/>
  <c r="X18" i="12"/>
  <c r="X19" i="12"/>
  <c r="X23" i="12"/>
  <c r="X24" i="12"/>
  <c r="X26" i="12"/>
  <c r="X27" i="12"/>
  <c r="X28" i="12"/>
  <c r="X33" i="12"/>
  <c r="X34" i="12"/>
  <c r="Y20" i="12"/>
  <c r="Y17" i="12"/>
  <c r="Y18" i="12"/>
  <c r="Y19" i="12"/>
  <c r="Y23" i="12"/>
  <c r="Y24" i="12"/>
  <c r="Y26" i="12"/>
  <c r="Y27" i="12"/>
  <c r="Y28" i="12"/>
  <c r="Y33" i="12"/>
  <c r="Y34" i="12"/>
  <c r="Z20" i="12"/>
  <c r="Z8" i="12"/>
  <c r="Z17" i="12"/>
  <c r="Z18" i="12"/>
  <c r="Z19" i="12"/>
  <c r="Z23" i="12"/>
  <c r="Z24" i="12"/>
  <c r="Z26" i="12"/>
  <c r="Z27" i="12"/>
  <c r="Z28" i="12"/>
  <c r="Z33" i="12"/>
  <c r="Z34" i="12"/>
  <c r="AA20" i="12"/>
  <c r="AA8" i="12"/>
  <c r="AA17" i="12"/>
  <c r="AA18" i="12"/>
  <c r="AA19" i="12"/>
  <c r="AA23" i="12"/>
  <c r="AA24" i="12"/>
  <c r="AA26" i="12"/>
  <c r="AA27" i="12"/>
  <c r="AA28" i="12"/>
  <c r="AA33" i="12"/>
  <c r="AA34" i="12"/>
  <c r="AB11" i="12"/>
  <c r="AB20" i="12"/>
  <c r="AB21" i="12"/>
  <c r="AB8" i="12"/>
  <c r="AB14" i="12" s="1"/>
  <c r="AB17" i="12"/>
  <c r="AB18" i="12"/>
  <c r="AB19" i="12"/>
  <c r="AB23" i="12"/>
  <c r="AB24" i="12"/>
  <c r="AB26" i="12"/>
  <c r="AB27" i="12"/>
  <c r="AB28" i="12"/>
  <c r="AB33" i="12"/>
  <c r="AB34" i="12"/>
  <c r="Q20" i="12"/>
  <c r="Q17" i="12"/>
  <c r="Q18" i="12"/>
  <c r="Q19" i="12"/>
  <c r="Q23" i="12"/>
  <c r="Q24" i="12"/>
  <c r="Q26" i="12"/>
  <c r="Q27" i="12"/>
  <c r="Q28" i="12"/>
  <c r="Q33" i="12"/>
  <c r="Q34" i="12"/>
  <c r="E17" i="12"/>
  <c r="E13" i="12" s="1"/>
  <c r="E11" i="12"/>
  <c r="E20" i="12"/>
  <c r="E21" i="12"/>
  <c r="E18" i="12"/>
  <c r="E19" i="12"/>
  <c r="E23" i="12"/>
  <c r="E24" i="12"/>
  <c r="E27" i="12"/>
  <c r="E28" i="12"/>
  <c r="E33" i="12"/>
  <c r="E34" i="12"/>
  <c r="F20" i="12"/>
  <c r="F18" i="12"/>
  <c r="F19" i="12"/>
  <c r="F23" i="12"/>
  <c r="F24" i="12"/>
  <c r="F27" i="12"/>
  <c r="F28" i="12"/>
  <c r="F33" i="12"/>
  <c r="F34" i="12"/>
  <c r="G17" i="12"/>
  <c r="G15" i="12" s="1"/>
  <c r="G18" i="12"/>
  <c r="G19" i="12"/>
  <c r="G23" i="12"/>
  <c r="G24" i="12"/>
  <c r="G27" i="12"/>
  <c r="G28" i="12"/>
  <c r="H30" i="17"/>
  <c r="H17" i="12"/>
  <c r="H15" i="12" s="1"/>
  <c r="H20" i="12"/>
  <c r="H18" i="12"/>
  <c r="H19" i="12"/>
  <c r="H23" i="12"/>
  <c r="H24" i="12"/>
  <c r="H27" i="12"/>
  <c r="H28" i="12"/>
  <c r="H33" i="12"/>
  <c r="H34" i="12"/>
  <c r="I17" i="12"/>
  <c r="I15" i="12" s="1"/>
  <c r="O17" i="12"/>
  <c r="O15" i="12" s="1"/>
  <c r="H15" i="17" s="1"/>
  <c r="I18" i="12"/>
  <c r="O18" i="12"/>
  <c r="H18" i="17" s="1"/>
  <c r="I19" i="12"/>
  <c r="O19" i="12"/>
  <c r="H19" i="17" s="1"/>
  <c r="I23" i="12"/>
  <c r="O23" i="12"/>
  <c r="H23" i="17" s="1"/>
  <c r="I24" i="12"/>
  <c r="O24" i="12"/>
  <c r="H24" i="17" s="1"/>
  <c r="H25" i="17"/>
  <c r="I27" i="12"/>
  <c r="O27" i="12"/>
  <c r="H27" i="17" s="1"/>
  <c r="I28" i="12"/>
  <c r="O28" i="12"/>
  <c r="H28" i="17" s="1"/>
  <c r="I33" i="12"/>
  <c r="O33" i="12"/>
  <c r="H33" i="17" s="1"/>
  <c r="I34" i="12"/>
  <c r="O34" i="12"/>
  <c r="H34" i="17" s="1"/>
  <c r="J17" i="12"/>
  <c r="J15" i="12" s="1"/>
  <c r="J20" i="12"/>
  <c r="J18" i="12"/>
  <c r="J19" i="12"/>
  <c r="J23" i="12"/>
  <c r="J24" i="12"/>
  <c r="J27" i="12"/>
  <c r="J28" i="12"/>
  <c r="J33" i="12"/>
  <c r="J34" i="12"/>
  <c r="K17" i="12"/>
  <c r="K15" i="12" s="1"/>
  <c r="K20" i="12"/>
  <c r="K18" i="12"/>
  <c r="K19" i="12"/>
  <c r="K23" i="12"/>
  <c r="K24" i="12"/>
  <c r="K27" i="12"/>
  <c r="K28" i="12"/>
  <c r="K33" i="12"/>
  <c r="K34" i="12"/>
  <c r="L17" i="12"/>
  <c r="L15" i="12" s="1"/>
  <c r="L20" i="12"/>
  <c r="L18" i="12"/>
  <c r="L19" i="12"/>
  <c r="L23" i="12"/>
  <c r="L24" i="12"/>
  <c r="L27" i="12"/>
  <c r="L28" i="12"/>
  <c r="L33" i="12"/>
  <c r="L34" i="12"/>
  <c r="M17" i="12"/>
  <c r="M15" i="12" s="1"/>
  <c r="M20" i="12"/>
  <c r="M18" i="12"/>
  <c r="M19" i="12"/>
  <c r="M23" i="12"/>
  <c r="M24" i="12"/>
  <c r="M27" i="12"/>
  <c r="M28" i="12"/>
  <c r="M33" i="12"/>
  <c r="M34" i="12"/>
  <c r="N17" i="12"/>
  <c r="N15" i="12" s="1"/>
  <c r="N20" i="12"/>
  <c r="N18" i="12"/>
  <c r="N19" i="12"/>
  <c r="N23" i="12"/>
  <c r="N24" i="12"/>
  <c r="N27" i="12"/>
  <c r="N28" i="12"/>
  <c r="N33" i="12"/>
  <c r="N34" i="12"/>
  <c r="O20" i="12"/>
  <c r="H20" i="17" s="1"/>
  <c r="D17" i="12"/>
  <c r="D20" i="12"/>
  <c r="D21" i="12"/>
  <c r="D18" i="12"/>
  <c r="D19" i="12"/>
  <c r="D23" i="12"/>
  <c r="D24" i="12"/>
  <c r="D27" i="12"/>
  <c r="D28" i="12"/>
  <c r="D33" i="12"/>
  <c r="D34" i="12"/>
  <c r="K53" i="4"/>
  <c r="H56" i="4" s="1"/>
  <c r="K52" i="4"/>
  <c r="L36" i="4"/>
  <c r="N7" i="4"/>
  <c r="N8" i="4" s="1"/>
  <c r="N5" i="4"/>
  <c r="N6" i="4"/>
  <c r="G59" i="4"/>
  <c r="K57" i="4"/>
  <c r="K51" i="4"/>
  <c r="K54" i="4"/>
  <c r="K55" i="4"/>
  <c r="K56" i="4"/>
  <c r="L34" i="4"/>
  <c r="L35" i="4"/>
  <c r="L38" i="4"/>
  <c r="L39" i="4"/>
  <c r="L40" i="4"/>
  <c r="L33" i="4"/>
  <c r="D41" i="3"/>
  <c r="D42" i="3"/>
  <c r="D11" i="12"/>
  <c r="AD11" i="12"/>
  <c r="D70" i="3"/>
  <c r="D71" i="3" s="1"/>
  <c r="D55" i="3"/>
  <c r="E55" i="3" s="1"/>
  <c r="AE14" i="12"/>
  <c r="D13" i="12"/>
  <c r="D15" i="12" s="1"/>
  <c r="H9" i="17"/>
  <c r="G76" i="4"/>
  <c r="C13" i="17"/>
  <c r="N17" i="4"/>
  <c r="Q8" i="12" s="1"/>
  <c r="G63" i="4"/>
  <c r="H64" i="4" l="1"/>
  <c r="H66" i="4" s="1"/>
  <c r="H68" i="4" s="1"/>
  <c r="G56" i="4"/>
  <c r="AF14" i="12"/>
  <c r="N10" i="4"/>
  <c r="N11" i="4" s="1"/>
  <c r="AH14" i="12"/>
  <c r="AG14" i="12"/>
  <c r="AO14" i="12"/>
  <c r="AJ14" i="12"/>
  <c r="AN14" i="12"/>
  <c r="AL14" i="12"/>
  <c r="AM14" i="12"/>
  <c r="AK14" i="12"/>
  <c r="G58" i="4"/>
  <c r="G60" i="4" s="1"/>
  <c r="G61" i="4" s="1"/>
  <c r="O8" i="12"/>
  <c r="H10" i="17" s="1"/>
  <c r="U8" i="12"/>
  <c r="AE21" i="12"/>
  <c r="AF5" i="12"/>
  <c r="AG5" i="12" s="1"/>
  <c r="AG11" i="12" s="1"/>
  <c r="H11" i="17"/>
  <c r="K8" i="12"/>
  <c r="I8" i="12"/>
  <c r="H17" i="17"/>
  <c r="G64" i="4"/>
  <c r="G66" i="4" s="1"/>
  <c r="G68" i="4" s="1"/>
  <c r="G69" i="4" s="1"/>
  <c r="G70" i="4" s="1"/>
  <c r="G71" i="4" s="1"/>
  <c r="AE11" i="12"/>
  <c r="N16" i="4"/>
  <c r="H58" i="4"/>
  <c r="H60" i="4" s="1"/>
  <c r="H61" i="4" s="1"/>
  <c r="H69" i="4"/>
  <c r="H70" i="4" s="1"/>
  <c r="H71" i="4" s="1"/>
  <c r="Z14" i="12"/>
  <c r="O14" i="12"/>
  <c r="M8" i="12"/>
  <c r="AI14" i="12"/>
  <c r="AD14" i="12"/>
  <c r="AA14" i="12"/>
  <c r="AG21" i="12"/>
  <c r="J11" i="17"/>
  <c r="D22" i="12"/>
  <c r="J22" i="12"/>
  <c r="O22" i="12"/>
  <c r="H22" i="17" s="1"/>
  <c r="F22" i="12"/>
  <c r="AH22" i="12"/>
  <c r="Y22" i="12"/>
  <c r="M22" i="12"/>
  <c r="U22" i="12"/>
  <c r="Q22" i="12"/>
  <c r="C48" i="17"/>
  <c r="AN22" i="12"/>
  <c r="L22" i="12"/>
  <c r="AK22" i="12"/>
  <c r="Z22" i="12"/>
  <c r="K22" i="12"/>
  <c r="W22" i="12"/>
  <c r="AD22" i="12"/>
  <c r="V22" i="12"/>
  <c r="AM22" i="12"/>
  <c r="AG22" i="12"/>
  <c r="AE22" i="12"/>
  <c r="AJ22" i="12"/>
  <c r="I22" i="12"/>
  <c r="N22" i="12"/>
  <c r="E22" i="12"/>
  <c r="T22" i="12"/>
  <c r="AA22" i="12"/>
  <c r="AI22" i="12"/>
  <c r="S22" i="12"/>
  <c r="R22" i="12"/>
  <c r="H22" i="12"/>
  <c r="AB22" i="12"/>
  <c r="AL22" i="12"/>
  <c r="G22" i="12"/>
  <c r="X22" i="12"/>
  <c r="AF22" i="12"/>
  <c r="AO22" i="12"/>
  <c r="Q14" i="12"/>
  <c r="F11" i="12"/>
  <c r="F21" i="12"/>
  <c r="G5" i="12"/>
  <c r="V8" i="12"/>
  <c r="R8" i="12"/>
  <c r="X8" i="12"/>
  <c r="N8" i="12"/>
  <c r="H8" i="12"/>
  <c r="L8" i="12"/>
  <c r="J8" i="12"/>
  <c r="W8" i="12"/>
  <c r="S8" i="12"/>
  <c r="Y8" i="12"/>
  <c r="D8" i="12"/>
  <c r="E8" i="12"/>
  <c r="G8" i="12"/>
  <c r="F8" i="12"/>
  <c r="T8" i="12"/>
  <c r="AH5" i="12" l="1"/>
  <c r="AF11" i="12"/>
  <c r="G73" i="4"/>
  <c r="G75" i="4" s="1"/>
  <c r="AK12" i="12" s="1"/>
  <c r="U14" i="12"/>
  <c r="K14" i="12"/>
  <c r="AF21" i="12"/>
  <c r="AF40" i="12" s="1"/>
  <c r="I14" i="12"/>
  <c r="F12" i="12"/>
  <c r="AH12" i="12"/>
  <c r="M12" i="12"/>
  <c r="G12" i="12"/>
  <c r="AF12" i="12"/>
  <c r="E12" i="12"/>
  <c r="AL12" i="12"/>
  <c r="T12" i="12"/>
  <c r="U12" i="12"/>
  <c r="S12" i="12"/>
  <c r="H12" i="12"/>
  <c r="R12" i="12"/>
  <c r="Z12" i="12"/>
  <c r="AD12" i="12"/>
  <c r="AD40" i="12" s="1"/>
  <c r="AG12" i="12"/>
  <c r="AN12" i="12"/>
  <c r="D12" i="12"/>
  <c r="X12" i="12"/>
  <c r="AG40" i="12"/>
  <c r="M14" i="12"/>
  <c r="H73" i="4"/>
  <c r="H75" i="4" s="1"/>
  <c r="J14" i="17" s="1"/>
  <c r="J14" i="12"/>
  <c r="L14" i="12"/>
  <c r="G21" i="12"/>
  <c r="H5" i="12"/>
  <c r="F4" i="17"/>
  <c r="G11" i="12"/>
  <c r="G14" i="12"/>
  <c r="S14" i="12"/>
  <c r="R14" i="12"/>
  <c r="T14" i="12"/>
  <c r="N14" i="12"/>
  <c r="F14" i="12"/>
  <c r="F15" i="12" s="1"/>
  <c r="Y14" i="12"/>
  <c r="X14" i="12"/>
  <c r="E14" i="12"/>
  <c r="E15" i="12" s="1"/>
  <c r="W14" i="12"/>
  <c r="H14" i="12"/>
  <c r="V14" i="12"/>
  <c r="AH11" i="12"/>
  <c r="AH21" i="12"/>
  <c r="AI5" i="12"/>
  <c r="Q12" i="12" l="1"/>
  <c r="O12" i="12"/>
  <c r="H14" i="17" s="1"/>
  <c r="AM12" i="12"/>
  <c r="AO12" i="12"/>
  <c r="AA12" i="12"/>
  <c r="AB12" i="12"/>
  <c r="AB40" i="12" s="1"/>
  <c r="AJ12" i="12"/>
  <c r="K12" i="12"/>
  <c r="N12" i="12"/>
  <c r="D40" i="12"/>
  <c r="D42" i="12" s="1"/>
  <c r="I12" i="12"/>
  <c r="J12" i="12"/>
  <c r="AI12" i="12"/>
  <c r="Y12" i="12"/>
  <c r="W12" i="12"/>
  <c r="L12" i="12"/>
  <c r="AE12" i="12"/>
  <c r="AE40" i="12" s="1"/>
  <c r="V12" i="12"/>
  <c r="E40" i="12"/>
  <c r="G40" i="12"/>
  <c r="F40" i="12"/>
  <c r="I5" i="12"/>
  <c r="H11" i="12"/>
  <c r="H21" i="12"/>
  <c r="AH40" i="12"/>
  <c r="AJ5" i="12"/>
  <c r="AI11" i="12"/>
  <c r="AI21" i="12"/>
  <c r="J21" i="17"/>
  <c r="J13" i="17"/>
  <c r="E42" i="12" l="1"/>
  <c r="G42" i="12"/>
  <c r="F42" i="12"/>
  <c r="AI40" i="12"/>
  <c r="H40" i="12"/>
  <c r="J40" i="17"/>
  <c r="AJ11" i="12"/>
  <c r="AJ21" i="12"/>
  <c r="AK5" i="12"/>
  <c r="J5" i="12"/>
  <c r="I11" i="12"/>
  <c r="I21" i="12"/>
  <c r="I40" i="12" l="1"/>
  <c r="I42" i="12" s="1"/>
  <c r="AJ40" i="12"/>
  <c r="H42" i="12"/>
  <c r="J11" i="12"/>
  <c r="J21" i="12"/>
  <c r="K5" i="12"/>
  <c r="AK11" i="12"/>
  <c r="AL5" i="12"/>
  <c r="AK21" i="12"/>
  <c r="AK40" i="12" l="1"/>
  <c r="L5" i="12"/>
  <c r="K11" i="12"/>
  <c r="K21" i="12"/>
  <c r="AL11" i="12"/>
  <c r="AM5" i="12"/>
  <c r="AL21" i="12"/>
  <c r="J40" i="12"/>
  <c r="AL40" i="12" l="1"/>
  <c r="J42" i="12"/>
  <c r="K40" i="12"/>
  <c r="AM21" i="12"/>
  <c r="AM11" i="12"/>
  <c r="AN5" i="12"/>
  <c r="L21" i="12"/>
  <c r="L11" i="12"/>
  <c r="M5" i="12"/>
  <c r="L40" i="12" l="1"/>
  <c r="L42" i="12" s="1"/>
  <c r="AN11" i="12"/>
  <c r="AO5" i="12"/>
  <c r="AN21" i="12"/>
  <c r="K42" i="12"/>
  <c r="M11" i="12"/>
  <c r="N5" i="12"/>
  <c r="M21" i="12"/>
  <c r="AM40" i="12"/>
  <c r="M40" i="12" l="1"/>
  <c r="M42" i="12" s="1"/>
  <c r="N21" i="12"/>
  <c r="O5" i="12"/>
  <c r="N11" i="12"/>
  <c r="AO21" i="12"/>
  <c r="AO11" i="12"/>
  <c r="AN40" i="12"/>
  <c r="N40" i="12" l="1"/>
  <c r="N42" i="12" s="1"/>
  <c r="AO40" i="12"/>
  <c r="O11" i="12"/>
  <c r="C4" i="17"/>
  <c r="O21" i="12"/>
  <c r="H21" i="17" s="1"/>
  <c r="Q5" i="12"/>
  <c r="O40" i="12" l="1"/>
  <c r="H13" i="17"/>
  <c r="Q11" i="12"/>
  <c r="Q21" i="12"/>
  <c r="R5" i="12"/>
  <c r="Q40" i="12" l="1"/>
  <c r="Q42" i="12" s="1"/>
  <c r="R21" i="12"/>
  <c r="R11" i="12"/>
  <c r="R40" i="12" s="1"/>
  <c r="S5" i="12"/>
  <c r="H40" i="17"/>
  <c r="O42" i="12"/>
  <c r="R42" i="12" l="1"/>
  <c r="T5" i="12"/>
  <c r="S21" i="12"/>
  <c r="S11" i="12"/>
  <c r="S40" i="12" s="1"/>
  <c r="S42" i="12" l="1"/>
  <c r="U5" i="12"/>
  <c r="T11" i="12"/>
  <c r="T21" i="12"/>
  <c r="T40" i="12" l="1"/>
  <c r="U11" i="12"/>
  <c r="V5" i="12"/>
  <c r="U21" i="12"/>
  <c r="T42" i="12"/>
  <c r="W5" i="12" l="1"/>
  <c r="V21" i="12"/>
  <c r="V11" i="12"/>
  <c r="U40" i="12"/>
  <c r="U42" i="12" s="1"/>
  <c r="V40" i="12" l="1"/>
  <c r="V42" i="12" s="1"/>
  <c r="W21" i="12"/>
  <c r="W11" i="12"/>
  <c r="X5" i="12"/>
  <c r="W40" i="12" l="1"/>
  <c r="W42" i="12" s="1"/>
  <c r="Y5" i="12"/>
  <c r="X11" i="12"/>
  <c r="X21" i="12"/>
  <c r="X40" i="12" l="1"/>
  <c r="X42" i="12" s="1"/>
  <c r="Z5" i="12"/>
  <c r="Y21" i="12"/>
  <c r="Y11" i="12"/>
  <c r="Y40" i="12" s="1"/>
  <c r="Y42" i="12" l="1"/>
  <c r="Z11" i="12"/>
  <c r="AA5" i="12"/>
  <c r="Z21" i="12"/>
  <c r="AA11" i="12" l="1"/>
  <c r="AA21" i="12"/>
  <c r="Z40" i="12"/>
  <c r="Z42" i="12" s="1"/>
  <c r="AA40" i="12" l="1"/>
  <c r="AJ42" i="12" l="1"/>
  <c r="AM42" i="12"/>
  <c r="AF42" i="12"/>
  <c r="AH42" i="12"/>
  <c r="AG42" i="12"/>
  <c r="AI42" i="12"/>
  <c r="AA42" i="12"/>
  <c r="AL42" i="12"/>
  <c r="AK42" i="12"/>
  <c r="AE42" i="12"/>
  <c r="AB42" i="12"/>
  <c r="AD42" i="12"/>
  <c r="AO42" i="12"/>
  <c r="AN42" i="12"/>
</calcChain>
</file>

<file path=xl/comments1.xml><?xml version="1.0" encoding="utf-8"?>
<comments xmlns="http://schemas.openxmlformats.org/spreadsheetml/2006/main">
  <authors>
    <author>Talya Lockman-Fine</author>
  </authors>
  <commentList>
    <comment ref="B11" authorId="0" shapeId="0">
      <text>
        <r>
          <rPr>
            <sz val="10"/>
            <color rgb="FF000000"/>
            <rFont val="Arial"/>
            <family val="2"/>
          </rPr>
          <t>حجم الأسرة</t>
        </r>
      </text>
    </comment>
    <comment ref="C11" authorId="0" shapeId="0">
      <text>
        <r>
          <rPr>
            <sz val="10"/>
            <color rgb="FF000000"/>
            <rFont val="Arial"/>
            <family val="2"/>
          </rPr>
          <t>خط</t>
        </r>
        <r>
          <rPr>
            <sz val="10"/>
            <color rgb="FF000000"/>
            <rFont val="Arial"/>
            <family val="2"/>
          </rPr>
          <t xml:space="preserve"> </t>
        </r>
        <r>
          <rPr>
            <sz val="10"/>
            <color rgb="FF000000"/>
            <rFont val="Arial"/>
            <family val="2"/>
          </rPr>
          <t>الأساس</t>
        </r>
      </text>
    </comment>
    <comment ref="D11" authorId="0" shapeId="0">
      <text>
        <r>
          <rPr>
            <sz val="10"/>
            <color rgb="FF000000"/>
            <rFont val="Arial"/>
            <family val="2"/>
          </rPr>
          <t>المدخلات</t>
        </r>
      </text>
    </comment>
    <comment ref="B12" authorId="0" shapeId="0">
      <text>
        <r>
          <rPr>
            <sz val="18"/>
            <color rgb="FF000000"/>
            <rFont val="Arial"/>
            <family val="2"/>
          </rPr>
          <t xml:space="preserve">عدد البالغين
</t>
        </r>
        <r>
          <rPr>
            <sz val="18"/>
            <color rgb="FF000000"/>
            <rFont val="Arial"/>
            <family val="2"/>
          </rPr>
          <t xml:space="preserve">
</t>
        </r>
        <r>
          <rPr>
            <sz val="18"/>
            <color rgb="FF000000"/>
            <rFont val="Arial"/>
            <family val="2"/>
          </rPr>
          <t xml:space="preserve">
</t>
        </r>
      </text>
    </comment>
    <comment ref="B13" authorId="0" shapeId="0">
      <text>
        <r>
          <rPr>
            <sz val="10"/>
            <color rgb="FF000000"/>
            <rFont val="Arial"/>
            <family val="2"/>
          </rPr>
          <t>عدد الأطفال في سن المدرسة</t>
        </r>
      </text>
    </comment>
    <comment ref="B14" authorId="0" shapeId="0">
      <text>
        <r>
          <rPr>
            <sz val="10"/>
            <color rgb="FF000000"/>
            <rFont val="Arial"/>
            <family val="2"/>
          </rPr>
          <t>عدد الأطفال المجموع</t>
        </r>
      </text>
    </comment>
    <comment ref="B15" authorId="0" shapeId="0">
      <text>
        <r>
          <rPr>
            <sz val="10"/>
            <color rgb="FF000000"/>
            <rFont val="Arial"/>
            <family val="2"/>
          </rPr>
          <t>البالغين العاملين</t>
        </r>
      </text>
    </comment>
    <comment ref="B16" authorId="0" shapeId="0">
      <text>
        <r>
          <rPr>
            <sz val="10"/>
            <color rgb="FF000000"/>
            <rFont val="Arial"/>
            <family val="2"/>
          </rPr>
          <t>الأطفال العاملين</t>
        </r>
      </text>
    </comment>
    <comment ref="B17" authorId="0" shapeId="0">
      <text>
        <r>
          <rPr>
            <sz val="10"/>
            <color rgb="FF000000"/>
            <rFont val="Arial"/>
            <family val="2"/>
          </rPr>
          <t>مجموع حجم الأسرة</t>
        </r>
      </text>
    </comment>
    <comment ref="B18" authorId="0" shapeId="0">
      <text>
        <r>
          <rPr>
            <sz val="10"/>
            <color rgb="FF000000"/>
            <rFont val="Arial"/>
            <family val="2"/>
          </rPr>
          <t>منح</t>
        </r>
      </text>
    </comment>
    <comment ref="B21" authorId="0" shapeId="0">
      <text>
        <r>
          <rPr>
            <sz val="10"/>
            <color rgb="FF000000"/>
            <rFont val="Arial"/>
            <family val="2"/>
          </rPr>
          <t>خصائص الأسرة</t>
        </r>
      </text>
    </comment>
    <comment ref="C21" authorId="0" shapeId="0">
      <text>
        <r>
          <rPr>
            <sz val="10"/>
            <color rgb="FF000000"/>
            <rFont val="Arial"/>
            <family val="2"/>
          </rPr>
          <t>خط الأساس</t>
        </r>
      </text>
    </comment>
    <comment ref="D21" authorId="0" shapeId="0">
      <text>
        <r>
          <rPr>
            <sz val="10"/>
            <color rgb="FF000000"/>
            <rFont val="Arial"/>
            <family val="2"/>
          </rPr>
          <t>المدخلات</t>
        </r>
      </text>
    </comment>
    <comment ref="B22" authorId="0" shapeId="0">
      <text>
        <r>
          <rPr>
            <sz val="10"/>
            <color rgb="FF000000"/>
            <rFont val="Arial"/>
            <family val="2"/>
          </rPr>
          <t>المعاقين</t>
        </r>
      </text>
    </comment>
    <comment ref="B23" authorId="0" shapeId="0">
      <text>
        <r>
          <rPr>
            <sz val="10"/>
            <color rgb="FF000000"/>
            <rFont val="Arial"/>
            <family val="2"/>
          </rPr>
          <t>كبار السن (أكثر من 60)</t>
        </r>
      </text>
    </comment>
    <comment ref="B24" authorId="0" shapeId="0">
      <text>
        <r>
          <rPr>
            <sz val="10"/>
            <color rgb="FF000000"/>
            <rFont val="Arial"/>
            <family val="2"/>
          </rPr>
          <t>عدد الأطفال دون سن السادسة</t>
        </r>
      </text>
    </comment>
    <comment ref="B25" authorId="0" shapeId="0">
      <text>
        <r>
          <rPr>
            <sz val="10"/>
            <color rgb="FF000000"/>
            <rFont val="Arial"/>
            <family val="2"/>
          </rPr>
          <t>فترة مساعدة الإيجار</t>
        </r>
      </text>
    </comment>
    <comment ref="B28" authorId="0" shapeId="0">
      <text>
        <r>
          <rPr>
            <sz val="10"/>
            <color rgb="FF000000"/>
            <rFont val="Arial"/>
            <family val="2"/>
          </rPr>
          <t>دخل</t>
        </r>
      </text>
    </comment>
    <comment ref="C28" authorId="0" shapeId="0">
      <text>
        <r>
          <rPr>
            <sz val="10"/>
            <color rgb="FF000000"/>
            <rFont val="Arial"/>
            <family val="2"/>
          </rPr>
          <t>خط الأساس</t>
        </r>
      </text>
    </comment>
    <comment ref="D28" authorId="0" shapeId="0">
      <text>
        <r>
          <rPr>
            <sz val="10"/>
            <color rgb="FF000000"/>
            <rFont val="Arial"/>
            <family val="2"/>
          </rPr>
          <t>المدخلات</t>
        </r>
      </text>
    </comment>
    <comment ref="B29" authorId="0" shapeId="0">
      <text>
        <r>
          <rPr>
            <sz val="10"/>
            <color rgb="FF000000"/>
            <rFont val="Arial"/>
            <family val="2"/>
          </rPr>
          <t>دخل الأسرة</t>
        </r>
      </text>
    </comment>
    <comment ref="B32" authorId="0" shapeId="0">
      <text>
        <r>
          <rPr>
            <sz val="10"/>
            <color rgb="FF000000"/>
            <rFont val="Arial"/>
            <family val="2"/>
          </rPr>
          <t>إسكان</t>
        </r>
      </text>
    </comment>
    <comment ref="D32" authorId="0" shapeId="0">
      <text>
        <r>
          <rPr>
            <sz val="10"/>
            <color rgb="FF000000"/>
            <rFont val="Arial"/>
            <family val="2"/>
          </rPr>
          <t>خط الأساس</t>
        </r>
      </text>
    </comment>
    <comment ref="E32" authorId="0" shapeId="0">
      <text>
        <r>
          <rPr>
            <sz val="10"/>
            <color rgb="FF000000"/>
            <rFont val="Arial"/>
            <family val="2"/>
          </rPr>
          <t>المدخلات</t>
        </r>
      </text>
    </comment>
    <comment ref="B33" authorId="0" shapeId="0">
      <text>
        <r>
          <rPr>
            <sz val="10"/>
            <color rgb="FF000000"/>
            <rFont val="Arial"/>
            <family val="2"/>
          </rPr>
          <t>مدينة</t>
        </r>
      </text>
    </comment>
    <comment ref="B34" authorId="0" shapeId="0">
      <text>
        <r>
          <rPr>
            <sz val="10"/>
            <color rgb="FF000000"/>
            <rFont val="Arial"/>
            <family val="2"/>
          </rPr>
          <t>منطقة</t>
        </r>
      </text>
    </comment>
    <comment ref="B35" authorId="0" shapeId="0">
      <text>
        <r>
          <rPr>
            <sz val="10"/>
            <color rgb="FF000000"/>
            <rFont val="Arial"/>
            <family val="2"/>
          </rPr>
          <t>طول أول عقد إيجار</t>
        </r>
      </text>
    </comment>
    <comment ref="B36" authorId="0" shapeId="0">
      <text>
        <r>
          <rPr>
            <sz val="10"/>
            <color rgb="FF000000"/>
            <rFont val="Arial"/>
            <family val="2"/>
          </rPr>
          <t>إيجار</t>
        </r>
      </text>
    </comment>
    <comment ref="B37" authorId="0" shapeId="0">
      <text>
        <r>
          <rPr>
            <sz val="10"/>
            <color rgb="FF000000"/>
            <rFont val="Arial"/>
            <family val="2"/>
          </rPr>
          <t>عدد غرف النوم</t>
        </r>
      </text>
    </comment>
    <comment ref="B38" authorId="0" shapeId="0">
      <text>
        <r>
          <rPr>
            <sz val="10"/>
            <color rgb="FF000000"/>
            <rFont val="Arial"/>
            <family val="2"/>
          </rPr>
          <t>ماء</t>
        </r>
      </text>
    </comment>
    <comment ref="B39" authorId="0" shapeId="0">
      <text>
        <r>
          <rPr>
            <sz val="10"/>
            <color rgb="FF000000"/>
            <rFont val="Arial"/>
            <family val="2"/>
          </rPr>
          <t>كهرباء</t>
        </r>
      </text>
    </comment>
    <comment ref="B40" authorId="0" shapeId="0">
      <text>
        <r>
          <rPr>
            <sz val="10"/>
            <color rgb="FF000000"/>
            <rFont val="Arial"/>
            <family val="2"/>
          </rPr>
          <t>النفط أو الغاز</t>
        </r>
      </text>
    </comment>
    <comment ref="B41" authorId="0" shapeId="0">
      <text>
        <r>
          <rPr>
            <sz val="10"/>
            <color rgb="FF000000"/>
            <rFont val="Arial"/>
            <family val="2"/>
          </rPr>
          <t>غاز</t>
        </r>
      </text>
    </comment>
    <comment ref="B42" authorId="0" shapeId="0">
      <text>
        <r>
          <rPr>
            <sz val="10"/>
            <color rgb="FF000000"/>
            <rFont val="Arial"/>
            <family val="2"/>
          </rPr>
          <t>نفط</t>
        </r>
      </text>
    </comment>
    <comment ref="B43" authorId="0" shapeId="0">
      <text>
        <r>
          <rPr>
            <sz val="10"/>
            <color rgb="FF000000"/>
            <rFont val="Arial"/>
            <family val="2"/>
          </rPr>
          <t>مجموع</t>
        </r>
      </text>
    </comment>
    <comment ref="B45" authorId="0" shapeId="0">
      <text>
        <r>
          <rPr>
            <sz val="10"/>
            <color rgb="FF000000"/>
            <rFont val="Arial"/>
            <family val="2"/>
          </rPr>
          <t>ممتلكات</t>
        </r>
      </text>
    </comment>
    <comment ref="D45" authorId="0" shapeId="0">
      <text>
        <r>
          <rPr>
            <sz val="10"/>
            <color rgb="FF000000"/>
            <rFont val="Arial"/>
            <family val="2"/>
          </rPr>
          <t>خط الأساس</t>
        </r>
      </text>
    </comment>
    <comment ref="E45" authorId="0" shapeId="0">
      <text>
        <r>
          <rPr>
            <sz val="10"/>
            <color rgb="FF000000"/>
            <rFont val="Arial"/>
            <family val="2"/>
          </rPr>
          <t>المدخلات</t>
        </r>
      </text>
    </comment>
    <comment ref="B46" authorId="0" shapeId="0">
      <text>
        <r>
          <rPr>
            <sz val="10"/>
            <color rgb="FF000000"/>
            <rFont val="Arial"/>
            <family val="2"/>
          </rPr>
          <t>سيارة</t>
        </r>
      </text>
    </comment>
    <comment ref="B47" authorId="0" shapeId="0">
      <text>
        <r>
          <rPr>
            <sz val="10"/>
            <color rgb="FF000000"/>
            <rFont val="Arial"/>
            <family val="2"/>
          </rPr>
          <t>قيمة السيارة</t>
        </r>
      </text>
    </comment>
    <comment ref="B48" authorId="0" shapeId="0">
      <text>
        <r>
          <rPr>
            <sz val="10"/>
            <color rgb="FF000000"/>
            <rFont val="Arial"/>
            <family val="2"/>
          </rPr>
          <t>السيولة النقدية</t>
        </r>
      </text>
    </comment>
    <comment ref="B49" authorId="0" shapeId="0">
      <text>
        <r>
          <rPr>
            <sz val="10"/>
            <color rgb="FF000000"/>
            <rFont val="Arial"/>
            <family val="2"/>
          </rPr>
          <t>مدخرات</t>
        </r>
      </text>
    </comment>
    <comment ref="B50" authorId="0" shapeId="0">
      <text>
        <r>
          <rPr>
            <sz val="10"/>
            <color rgb="FF000000"/>
            <rFont val="Arial"/>
            <family val="2"/>
          </rPr>
          <t>مخازن</t>
        </r>
      </text>
    </comment>
    <comment ref="B51" authorId="0" shapeId="0">
      <text>
        <r>
          <rPr>
            <sz val="10"/>
            <color rgb="FF000000"/>
            <rFont val="Arial"/>
            <family val="2"/>
          </rPr>
          <t>الربط</t>
        </r>
      </text>
    </comment>
    <comment ref="B52" authorId="0" shapeId="0">
      <text>
        <r>
          <rPr>
            <sz val="10"/>
            <color rgb="FF000000"/>
            <rFont val="Arial"/>
            <family val="2"/>
          </rPr>
          <t>مجموع</t>
        </r>
      </text>
    </comment>
    <comment ref="B54" authorId="0" shapeId="0">
      <text>
        <r>
          <rPr>
            <sz val="10"/>
            <color rgb="FF000000"/>
            <rFont val="Arial"/>
            <family val="2"/>
          </rPr>
          <t>آخر</t>
        </r>
      </text>
    </comment>
    <comment ref="D54" authorId="0" shapeId="0">
      <text>
        <r>
          <rPr>
            <sz val="10"/>
            <color rgb="FF000000"/>
            <rFont val="Arial"/>
            <family val="2"/>
          </rPr>
          <t>خط الأساس</t>
        </r>
      </text>
    </comment>
    <comment ref="E54" authorId="0" shapeId="0">
      <text>
        <r>
          <rPr>
            <sz val="10"/>
            <color rgb="FF000000"/>
            <rFont val="Arial"/>
            <family val="2"/>
          </rPr>
          <t>المدخلات</t>
        </r>
      </text>
    </comment>
    <comment ref="B55" authorId="0" shapeId="0">
      <text>
        <r>
          <rPr>
            <sz val="10"/>
            <color rgb="FF000000"/>
            <rFont val="Arial"/>
            <family val="2"/>
          </rPr>
          <t>محلات البقالة</t>
        </r>
      </text>
    </comment>
    <comment ref="B56" authorId="0" shapeId="0">
      <text>
        <r>
          <rPr>
            <sz val="10"/>
            <color rgb="FF000000"/>
            <rFont val="Arial"/>
            <family val="2"/>
          </rPr>
          <t>هاتف</t>
        </r>
      </text>
    </comment>
    <comment ref="B57" authorId="0" shapeId="0">
      <text>
        <r>
          <rPr>
            <sz val="10"/>
            <color rgb="FF000000"/>
            <rFont val="Arial"/>
            <family val="2"/>
          </rPr>
          <t>الإنترنت (المدرسة)</t>
        </r>
      </text>
    </comment>
    <comment ref="B58" authorId="0" shapeId="0">
      <text>
        <r>
          <rPr>
            <sz val="10"/>
            <color rgb="FF000000"/>
            <rFont val="Arial"/>
            <family val="2"/>
          </rPr>
          <t>الإنترنت (بدون مدرسة)</t>
        </r>
      </text>
    </comment>
    <comment ref="B59" authorId="0" shapeId="0">
      <text>
        <r>
          <rPr>
            <sz val="10"/>
            <color rgb="FF000000"/>
            <rFont val="Arial"/>
            <family val="2"/>
          </rPr>
          <t>الهاتف البدني</t>
        </r>
      </text>
    </comment>
    <comment ref="B60" authorId="0" shapeId="0">
      <text>
        <r>
          <rPr>
            <sz val="10"/>
            <color rgb="FF000000"/>
            <rFont val="Arial"/>
            <family val="2"/>
          </rPr>
          <t>الحاسوب</t>
        </r>
      </text>
    </comment>
    <comment ref="B61" authorId="0" shapeId="0">
      <text>
        <r>
          <rPr>
            <sz val="10"/>
            <color rgb="FF000000"/>
            <rFont val="Arial"/>
            <family val="2"/>
          </rPr>
          <t>ملابس</t>
        </r>
      </text>
    </comment>
    <comment ref="B62" authorId="0" shapeId="0">
      <text>
        <r>
          <rPr>
            <sz val="10"/>
            <color rgb="FF000000"/>
            <rFont val="Arial"/>
            <family val="2"/>
          </rPr>
          <t>الأثاث / أوعية / المنزلية</t>
        </r>
      </text>
    </comment>
    <comment ref="B63" authorId="0" shapeId="0">
      <text>
        <r>
          <rPr>
            <sz val="10"/>
            <color rgb="FF000000"/>
            <rFont val="Arial"/>
            <family val="2"/>
          </rPr>
          <t>اللوازم المدرسية</t>
        </r>
      </text>
    </comment>
    <comment ref="B64" authorId="0" shapeId="0">
      <text>
        <r>
          <rPr>
            <sz val="10"/>
            <color rgb="FF000000"/>
            <rFont val="Arial"/>
            <family val="2"/>
          </rPr>
          <t>التأمين الطبي</t>
        </r>
      </text>
    </comment>
    <comment ref="B65" authorId="0" shapeId="0">
      <text>
        <r>
          <rPr>
            <sz val="10"/>
            <color rgb="FF000000"/>
            <rFont val="Arial"/>
            <family val="2"/>
          </rPr>
          <t>طبي</t>
        </r>
      </text>
    </comment>
    <comment ref="B66" authorId="0" shapeId="0">
      <text>
        <r>
          <rPr>
            <sz val="10"/>
            <color rgb="FF000000"/>
            <rFont val="Arial"/>
            <family val="2"/>
          </rPr>
          <t>بطاقة خضراء</t>
        </r>
      </text>
    </comment>
    <comment ref="B67" authorId="0" shapeId="0">
      <text>
        <r>
          <rPr>
            <sz val="10"/>
            <color rgb="FF000000"/>
            <rFont val="Arial"/>
            <family val="2"/>
          </rPr>
          <t>الشهر بطاقة خضراء</t>
        </r>
      </text>
    </comment>
    <comment ref="B68" authorId="0" shapeId="0">
      <text>
        <r>
          <rPr>
            <sz val="10"/>
            <color rgb="FF000000"/>
            <rFont val="Arial"/>
            <family val="2"/>
          </rPr>
          <t>الأسنان</t>
        </r>
      </text>
    </comment>
    <comment ref="B69" authorId="0" shapeId="0">
      <text>
        <r>
          <rPr>
            <sz val="10"/>
            <color rgb="FF000000"/>
            <rFont val="Arial"/>
            <family val="2"/>
          </rPr>
          <t>تكاليف الرعاية التابعة</t>
        </r>
      </text>
    </comment>
    <comment ref="B70" authorId="0" shapeId="0">
      <text>
        <r>
          <rPr>
            <sz val="10"/>
            <color rgb="FF000000"/>
            <rFont val="Arial"/>
            <family val="2"/>
          </rPr>
          <t>إجمالي قرض السفر</t>
        </r>
      </text>
    </comment>
    <comment ref="B71" authorId="0" shapeId="0">
      <text>
        <r>
          <rPr>
            <sz val="10"/>
            <color rgb="FF000000"/>
            <rFont val="Arial"/>
            <family val="2"/>
          </rPr>
          <t>الإطار الزمني لسفر السفر</t>
        </r>
      </text>
    </comment>
    <comment ref="B72" authorId="0" shapeId="0">
      <text>
        <r>
          <rPr>
            <sz val="10"/>
            <color rgb="FF000000"/>
            <rFont val="Arial"/>
            <family val="2"/>
          </rPr>
          <t>سداد قرض السفر</t>
        </r>
      </text>
    </comment>
    <comment ref="B75" authorId="0" shapeId="0">
      <text>
        <r>
          <rPr>
            <sz val="10"/>
            <color rgb="FF000000"/>
            <rFont val="Arial"/>
            <family val="2"/>
          </rPr>
          <t>نوع المواصلات</t>
        </r>
      </text>
    </comment>
    <comment ref="B76" authorId="0" shapeId="0">
      <text>
        <r>
          <rPr>
            <sz val="10"/>
            <color rgb="FF000000"/>
            <rFont val="Arial"/>
            <family val="2"/>
          </rPr>
          <t>النقل العام</t>
        </r>
      </text>
    </comment>
    <comment ref="B77" authorId="0" shapeId="0">
      <text>
        <r>
          <rPr>
            <sz val="10"/>
            <color rgb="FF000000"/>
            <rFont val="Arial"/>
            <family val="2"/>
          </rPr>
          <t>غاز السيارة</t>
        </r>
      </text>
    </comment>
    <comment ref="B78" authorId="0" shapeId="0">
      <text>
        <r>
          <rPr>
            <sz val="10"/>
            <color rgb="FF000000"/>
            <rFont val="Arial"/>
            <family val="2"/>
          </rPr>
          <t>غاز السيارة</t>
        </r>
      </text>
    </comment>
  </commentList>
</comments>
</file>

<file path=xl/comments2.xml><?xml version="1.0" encoding="utf-8"?>
<comments xmlns="http://schemas.openxmlformats.org/spreadsheetml/2006/main">
  <authors>
    <author>Talya Lockman-Fine</author>
  </authors>
  <commentList>
    <comment ref="B6" authorId="0" shapeId="0">
      <text>
        <r>
          <rPr>
            <sz val="10"/>
            <color rgb="FF000000"/>
            <rFont val="Arial"/>
            <family val="2"/>
          </rPr>
          <t>الإيرادات</t>
        </r>
      </text>
    </comment>
    <comment ref="B7" authorId="0" shapeId="0">
      <text>
        <r>
          <rPr>
            <sz val="10"/>
            <color rgb="FF000000"/>
            <rFont val="Arial"/>
            <family val="2"/>
          </rPr>
          <t>توظيف</t>
        </r>
      </text>
    </comment>
    <comment ref="B15" authorId="0" shapeId="0">
      <text>
        <r>
          <rPr>
            <sz val="10"/>
            <color rgb="FF000000"/>
            <rFont val="Arial"/>
            <family val="2"/>
          </rPr>
          <t>شارك</t>
        </r>
        <r>
          <rPr>
            <sz val="10"/>
            <color rgb="FF000000"/>
            <rFont val="Arial"/>
            <family val="2"/>
          </rPr>
          <t xml:space="preserve"> </t>
        </r>
        <r>
          <rPr>
            <sz val="10"/>
            <color rgb="FF000000"/>
            <rFont val="Arial"/>
            <family val="2"/>
          </rPr>
          <t>في</t>
        </r>
        <r>
          <rPr>
            <sz val="10"/>
            <color rgb="FF000000"/>
            <rFont val="Arial"/>
            <family val="2"/>
          </rPr>
          <t xml:space="preserve"> </t>
        </r>
        <r>
          <rPr>
            <sz val="10"/>
            <color rgb="FF000000"/>
            <rFont val="Arial"/>
            <family val="2"/>
          </rPr>
          <t>رعاية</t>
        </r>
      </text>
    </comment>
    <comment ref="B16" authorId="0" shapeId="0">
      <text>
        <r>
          <rPr>
            <sz val="10"/>
            <color rgb="FF000000"/>
            <rFont val="Arial"/>
            <family val="2"/>
          </rPr>
          <t>النفقات</t>
        </r>
      </text>
    </comment>
    <comment ref="B17" authorId="0" shapeId="0">
      <text>
        <r>
          <rPr>
            <sz val="10"/>
            <color rgb="FF000000"/>
            <rFont val="Arial"/>
            <family val="2"/>
          </rPr>
          <t>تأجير</t>
        </r>
      </text>
    </comment>
    <comment ref="B18" authorId="0" shapeId="0">
      <text>
        <r>
          <rPr>
            <sz val="10"/>
            <color rgb="FF000000"/>
            <rFont val="Arial"/>
            <family val="2"/>
          </rPr>
          <t>ماء</t>
        </r>
      </text>
    </comment>
    <comment ref="B19" authorId="0" shapeId="0">
      <text>
        <r>
          <rPr>
            <sz val="10"/>
            <color rgb="FF000000"/>
            <rFont val="Arial"/>
            <family val="2"/>
          </rPr>
          <t>كهرباء</t>
        </r>
      </text>
    </comment>
    <comment ref="B20" authorId="0" shapeId="0">
      <text>
        <r>
          <rPr>
            <sz val="10"/>
            <color rgb="FF000000"/>
            <rFont val="Arial"/>
            <family val="2"/>
          </rPr>
          <t>نفط</t>
        </r>
      </text>
    </comment>
    <comment ref="B21" authorId="0" shapeId="0">
      <text>
        <r>
          <rPr>
            <sz val="10"/>
            <color rgb="FF000000"/>
            <rFont val="Arial"/>
            <family val="2"/>
          </rPr>
          <t>غاز</t>
        </r>
      </text>
    </comment>
    <comment ref="B22" authorId="0" shapeId="0">
      <text>
        <r>
          <rPr>
            <sz val="10"/>
            <color rgb="FF000000"/>
            <rFont val="Arial"/>
            <family val="2"/>
          </rPr>
          <t>محلات البقالة</t>
        </r>
      </text>
    </comment>
    <comment ref="B23" authorId="0" shapeId="0">
      <text>
        <r>
          <rPr>
            <sz val="10"/>
            <color rgb="FF000000"/>
            <rFont val="Arial"/>
            <family val="2"/>
          </rPr>
          <t>الأثاث / أوعية / المنزلية</t>
        </r>
      </text>
    </comment>
    <comment ref="B24" authorId="0" shapeId="0">
      <text>
        <r>
          <rPr>
            <sz val="10"/>
            <color rgb="FF000000"/>
            <rFont val="Arial"/>
            <family val="2"/>
          </rPr>
          <t>هاتف</t>
        </r>
      </text>
    </comment>
    <comment ref="B25" authorId="0" shapeId="0">
      <text>
        <r>
          <rPr>
            <sz val="10"/>
            <color rgb="FF000000"/>
            <rFont val="Arial"/>
            <family val="2"/>
          </rPr>
          <t>الإنترنت</t>
        </r>
      </text>
    </comment>
    <comment ref="B26" authorId="0" shapeId="0">
      <text>
        <r>
          <rPr>
            <sz val="10"/>
            <color rgb="FF000000"/>
            <rFont val="Arial"/>
            <family val="2"/>
          </rPr>
          <t>الحاسوب</t>
        </r>
      </text>
    </comment>
    <comment ref="B27" authorId="0" shapeId="0">
      <text>
        <r>
          <rPr>
            <sz val="10"/>
            <color rgb="FF000000"/>
            <rFont val="Arial"/>
            <family val="2"/>
          </rPr>
          <t>ملابس</t>
        </r>
      </text>
    </comment>
    <comment ref="B28" authorId="0" shapeId="0">
      <text>
        <r>
          <rPr>
            <sz val="10"/>
            <color rgb="FF000000"/>
            <rFont val="Arial"/>
            <family val="2"/>
          </rPr>
          <t>اللوازم المدرسية</t>
        </r>
      </text>
    </comment>
    <comment ref="B29" authorId="0" shapeId="0">
      <text>
        <r>
          <rPr>
            <sz val="10"/>
            <color rgb="FF000000"/>
            <rFont val="Arial"/>
            <family val="2"/>
          </rPr>
          <t>قيمة</t>
        </r>
        <r>
          <rPr>
            <sz val="10"/>
            <color rgb="FF000000"/>
            <rFont val="Arial"/>
            <family val="2"/>
          </rPr>
          <t xml:space="preserve"> </t>
        </r>
        <r>
          <rPr>
            <sz val="10"/>
            <color rgb="FF000000"/>
            <rFont val="Arial"/>
            <family val="2"/>
          </rPr>
          <t>السيارة</t>
        </r>
      </text>
    </comment>
    <comment ref="B30" authorId="0" shapeId="0">
      <text>
        <r>
          <rPr>
            <sz val="10"/>
            <color rgb="FF000000"/>
            <rFont val="Arial"/>
            <family val="2"/>
          </rPr>
          <t>غاز السيارة</t>
        </r>
      </text>
    </comment>
    <comment ref="B31" authorId="0" shapeId="0">
      <text>
        <r>
          <rPr>
            <sz val="10"/>
            <color rgb="FF000000"/>
            <rFont val="Arial"/>
            <family val="2"/>
          </rPr>
          <t>النقل العام</t>
        </r>
      </text>
    </comment>
    <comment ref="B32" authorId="0" shapeId="0">
      <text>
        <r>
          <rPr>
            <sz val="10"/>
            <color rgb="FF000000"/>
            <rFont val="Arial"/>
            <family val="2"/>
          </rPr>
          <t>غاز السيارة</t>
        </r>
      </text>
    </comment>
    <comment ref="B33" authorId="0" shapeId="0">
      <text>
        <r>
          <rPr>
            <sz val="10"/>
            <color rgb="FF000000"/>
            <rFont val="Arial"/>
            <family val="2"/>
          </rPr>
          <t>طبي</t>
        </r>
      </text>
    </comment>
    <comment ref="B34" authorId="0" shapeId="0">
      <text>
        <r>
          <rPr>
            <sz val="10"/>
            <color rgb="FF000000"/>
            <rFont val="Arial"/>
            <family val="2"/>
          </rPr>
          <t>الأسنان</t>
        </r>
      </text>
    </comment>
    <comment ref="B35" authorId="0" shapeId="0">
      <text>
        <r>
          <rPr>
            <sz val="10"/>
            <color rgb="FF000000"/>
            <rFont val="Arial"/>
            <family val="2"/>
          </rPr>
          <t>إجمالي قرض السفر</t>
        </r>
      </text>
    </comment>
    <comment ref="B36" authorId="0" shapeId="0">
      <text>
        <r>
          <rPr>
            <sz val="10"/>
            <color rgb="FF000000"/>
            <rFont val="Arial"/>
            <family val="2"/>
          </rPr>
          <t>بطاقة</t>
        </r>
        <r>
          <rPr>
            <sz val="10"/>
            <color rgb="FF000000"/>
            <rFont val="Arial"/>
            <family val="2"/>
          </rPr>
          <t xml:space="preserve"> </t>
        </r>
        <r>
          <rPr>
            <sz val="10"/>
            <color rgb="FF000000"/>
            <rFont val="Arial"/>
            <family val="2"/>
          </rPr>
          <t>خضراء</t>
        </r>
      </text>
    </comment>
    <comment ref="B37" authorId="0" shapeId="0">
      <text>
        <r>
          <rPr>
            <sz val="10"/>
            <color rgb="FF000000"/>
            <rFont val="Arial"/>
            <family val="2"/>
          </rPr>
          <t>آخر</t>
        </r>
      </text>
    </comment>
    <comment ref="B38" authorId="0" shapeId="0">
      <text>
        <r>
          <rPr>
            <sz val="10"/>
            <color rgb="FF000000"/>
            <rFont val="Arial"/>
            <family val="2"/>
          </rPr>
          <t>آخر</t>
        </r>
        <r>
          <rPr>
            <sz val="10"/>
            <color rgb="FF000000"/>
            <rFont val="Arial"/>
            <family val="2"/>
          </rPr>
          <t xml:space="preserve">
</t>
        </r>
      </text>
    </comment>
    <comment ref="B39" authorId="0" shapeId="0">
      <text>
        <r>
          <rPr>
            <sz val="10"/>
            <color rgb="FF000000"/>
            <rFont val="Arial"/>
            <family val="2"/>
          </rPr>
          <t>آخر</t>
        </r>
        <r>
          <rPr>
            <sz val="10"/>
            <color rgb="FF000000"/>
            <rFont val="Arial"/>
            <family val="2"/>
          </rPr>
          <t xml:space="preserve">
</t>
        </r>
      </text>
    </comment>
    <comment ref="B40" authorId="0" shapeId="0">
      <text>
        <r>
          <rPr>
            <sz val="10"/>
            <color rgb="FF000000"/>
            <rFont val="Arial"/>
            <family val="2"/>
          </rPr>
          <t>صافي الدخل</t>
        </r>
      </text>
    </comment>
    <comment ref="B42" authorId="0" shapeId="0">
      <text>
        <r>
          <rPr>
            <sz val="10"/>
            <color rgb="FF000000"/>
            <rFont val="Arial"/>
            <family val="2"/>
          </rPr>
          <t>المدخرات التراكمي</t>
        </r>
      </text>
    </comment>
  </commentList>
</comments>
</file>

<file path=xl/comments3.xml><?xml version="1.0" encoding="utf-8"?>
<comments xmlns="http://schemas.openxmlformats.org/spreadsheetml/2006/main">
  <authors>
    <author>Talya Lockman-Fine</author>
  </authors>
  <commentList>
    <comment ref="B6" authorId="0" shapeId="0">
      <text>
        <r>
          <rPr>
            <sz val="10"/>
            <color rgb="FF000000"/>
            <rFont val="Arial"/>
            <family val="2"/>
          </rPr>
          <t>الإيرادات</t>
        </r>
      </text>
    </comment>
    <comment ref="B7" authorId="0" shapeId="0">
      <text>
        <r>
          <rPr>
            <sz val="10"/>
            <color rgb="FF000000"/>
            <rFont val="Arial"/>
            <family val="2"/>
          </rPr>
          <t>توظيف</t>
        </r>
      </text>
    </comment>
    <comment ref="B15" authorId="0" shapeId="0">
      <text>
        <r>
          <rPr>
            <sz val="10"/>
            <color rgb="FF000000"/>
            <rFont val="Arial"/>
            <family val="2"/>
          </rPr>
          <t>شارك</t>
        </r>
        <r>
          <rPr>
            <sz val="10"/>
            <color rgb="FF000000"/>
            <rFont val="Arial"/>
            <family val="2"/>
          </rPr>
          <t xml:space="preserve"> </t>
        </r>
        <r>
          <rPr>
            <sz val="10"/>
            <color rgb="FF000000"/>
            <rFont val="Arial"/>
            <family val="2"/>
          </rPr>
          <t>في</t>
        </r>
        <r>
          <rPr>
            <sz val="10"/>
            <color rgb="FF000000"/>
            <rFont val="Arial"/>
            <family val="2"/>
          </rPr>
          <t xml:space="preserve"> </t>
        </r>
        <r>
          <rPr>
            <sz val="10"/>
            <color rgb="FF000000"/>
            <rFont val="Arial"/>
            <family val="2"/>
          </rPr>
          <t>رعاية</t>
        </r>
      </text>
    </comment>
    <comment ref="B16" authorId="0" shapeId="0">
      <text>
        <r>
          <rPr>
            <sz val="10"/>
            <color rgb="FF000000"/>
            <rFont val="Arial"/>
            <family val="2"/>
          </rPr>
          <t>النفقات</t>
        </r>
      </text>
    </comment>
    <comment ref="B17" authorId="0" shapeId="0">
      <text>
        <r>
          <rPr>
            <sz val="10"/>
            <color rgb="FF000000"/>
            <rFont val="Arial"/>
            <family val="2"/>
          </rPr>
          <t>تأجير</t>
        </r>
      </text>
    </comment>
    <comment ref="B18" authorId="0" shapeId="0">
      <text>
        <r>
          <rPr>
            <sz val="10"/>
            <color rgb="FF000000"/>
            <rFont val="Arial"/>
            <family val="2"/>
          </rPr>
          <t>ماء</t>
        </r>
      </text>
    </comment>
    <comment ref="B19" authorId="0" shapeId="0">
      <text>
        <r>
          <rPr>
            <sz val="10"/>
            <color rgb="FF000000"/>
            <rFont val="Arial"/>
            <family val="2"/>
          </rPr>
          <t>كهرباء</t>
        </r>
      </text>
    </comment>
    <comment ref="B20" authorId="0" shapeId="0">
      <text>
        <r>
          <rPr>
            <sz val="10"/>
            <color rgb="FF000000"/>
            <rFont val="Arial"/>
            <family val="2"/>
          </rPr>
          <t>نفط</t>
        </r>
      </text>
    </comment>
    <comment ref="B21" authorId="0" shapeId="0">
      <text>
        <r>
          <rPr>
            <sz val="10"/>
            <color rgb="FF000000"/>
            <rFont val="Arial"/>
            <family val="2"/>
          </rPr>
          <t>غاز</t>
        </r>
      </text>
    </comment>
    <comment ref="B22" authorId="0" shapeId="0">
      <text>
        <r>
          <rPr>
            <sz val="10"/>
            <color rgb="FF000000"/>
            <rFont val="Arial"/>
            <family val="2"/>
          </rPr>
          <t>محلات البقالة</t>
        </r>
      </text>
    </comment>
    <comment ref="B23" authorId="0" shapeId="0">
      <text>
        <r>
          <rPr>
            <sz val="10"/>
            <color rgb="FF000000"/>
            <rFont val="Arial"/>
            <family val="2"/>
          </rPr>
          <t>الأثاث / أوعية / المنزلية</t>
        </r>
      </text>
    </comment>
    <comment ref="B24" authorId="0" shapeId="0">
      <text>
        <r>
          <rPr>
            <sz val="10"/>
            <color rgb="FF000000"/>
            <rFont val="Arial"/>
            <family val="2"/>
          </rPr>
          <t>هاتف</t>
        </r>
      </text>
    </comment>
    <comment ref="B25" authorId="0" shapeId="0">
      <text>
        <r>
          <rPr>
            <sz val="10"/>
            <color rgb="FF000000"/>
            <rFont val="Arial"/>
            <family val="2"/>
          </rPr>
          <t>الإنترنت</t>
        </r>
      </text>
    </comment>
    <comment ref="B26" authorId="0" shapeId="0">
      <text>
        <r>
          <rPr>
            <sz val="10"/>
            <color rgb="FF000000"/>
            <rFont val="Arial"/>
            <family val="2"/>
          </rPr>
          <t>الحاسوب</t>
        </r>
      </text>
    </comment>
    <comment ref="B27" authorId="0" shapeId="0">
      <text>
        <r>
          <rPr>
            <sz val="10"/>
            <color rgb="FF000000"/>
            <rFont val="Arial"/>
            <family val="2"/>
          </rPr>
          <t>ملابس</t>
        </r>
      </text>
    </comment>
    <comment ref="B28" authorId="0" shapeId="0">
      <text>
        <r>
          <rPr>
            <sz val="10"/>
            <color rgb="FF000000"/>
            <rFont val="Arial"/>
            <family val="2"/>
          </rPr>
          <t>اللوازم المدرسية</t>
        </r>
      </text>
    </comment>
    <comment ref="B29" authorId="0" shapeId="0">
      <text>
        <r>
          <rPr>
            <sz val="10"/>
            <color rgb="FF000000"/>
            <rFont val="Arial"/>
            <family val="2"/>
          </rPr>
          <t>قيمة السيارة</t>
        </r>
      </text>
    </comment>
    <comment ref="B30" authorId="0" shapeId="0">
      <text>
        <r>
          <rPr>
            <sz val="10"/>
            <color rgb="FF000000"/>
            <rFont val="Arial"/>
            <family val="2"/>
          </rPr>
          <t>غاز السيارة</t>
        </r>
      </text>
    </comment>
    <comment ref="B31" authorId="0" shapeId="0">
      <text>
        <r>
          <rPr>
            <sz val="10"/>
            <color rgb="FF000000"/>
            <rFont val="Arial"/>
            <family val="2"/>
          </rPr>
          <t>النقل العام</t>
        </r>
      </text>
    </comment>
    <comment ref="B32" authorId="0" shapeId="0">
      <text>
        <r>
          <rPr>
            <sz val="10"/>
            <color rgb="FF000000"/>
            <rFont val="Arial"/>
            <family val="2"/>
          </rPr>
          <t>غاز السيارة</t>
        </r>
      </text>
    </comment>
    <comment ref="B33" authorId="0" shapeId="0">
      <text>
        <r>
          <rPr>
            <sz val="10"/>
            <color rgb="FF000000"/>
            <rFont val="Arial"/>
            <family val="2"/>
          </rPr>
          <t>طبي</t>
        </r>
      </text>
    </comment>
    <comment ref="B34" authorId="0" shapeId="0">
      <text>
        <r>
          <rPr>
            <sz val="10"/>
            <color rgb="FF000000"/>
            <rFont val="Arial"/>
            <family val="2"/>
          </rPr>
          <t>الأسنان</t>
        </r>
      </text>
    </comment>
    <comment ref="B35" authorId="0" shapeId="0">
      <text>
        <r>
          <rPr>
            <sz val="10"/>
            <color rgb="FF000000"/>
            <rFont val="Arial"/>
            <family val="2"/>
          </rPr>
          <t>إجمالي قرض السفر</t>
        </r>
      </text>
    </comment>
    <comment ref="B36" authorId="0" shapeId="0">
      <text>
        <r>
          <rPr>
            <sz val="10"/>
            <color rgb="FF000000"/>
            <rFont val="Arial"/>
            <family val="2"/>
          </rPr>
          <t>بطاقة</t>
        </r>
        <r>
          <rPr>
            <sz val="10"/>
            <color rgb="FF000000"/>
            <rFont val="Arial"/>
            <family val="2"/>
          </rPr>
          <t xml:space="preserve"> </t>
        </r>
        <r>
          <rPr>
            <sz val="10"/>
            <color rgb="FF000000"/>
            <rFont val="Arial"/>
            <family val="2"/>
          </rPr>
          <t>خضراء</t>
        </r>
      </text>
    </comment>
    <comment ref="B37" authorId="0" shapeId="0">
      <text>
        <r>
          <rPr>
            <sz val="10"/>
            <color rgb="FF000000"/>
            <rFont val="Arial"/>
            <family val="2"/>
          </rPr>
          <t>آخر</t>
        </r>
      </text>
    </comment>
    <comment ref="B38" authorId="0" shapeId="0">
      <text>
        <r>
          <rPr>
            <sz val="10"/>
            <color rgb="FF000000"/>
            <rFont val="Arial"/>
            <family val="2"/>
          </rPr>
          <t>آخر</t>
        </r>
        <r>
          <rPr>
            <sz val="10"/>
            <color rgb="FF000000"/>
            <rFont val="Arial"/>
            <family val="2"/>
          </rPr>
          <t xml:space="preserve">
</t>
        </r>
      </text>
    </comment>
    <comment ref="B39" authorId="0" shapeId="0">
      <text>
        <r>
          <rPr>
            <sz val="10"/>
            <color rgb="FF000000"/>
            <rFont val="Arial"/>
            <family val="2"/>
          </rPr>
          <t>آخر</t>
        </r>
        <r>
          <rPr>
            <sz val="10"/>
            <color rgb="FF000000"/>
            <rFont val="Arial"/>
            <family val="2"/>
          </rPr>
          <t xml:space="preserve">
</t>
        </r>
      </text>
    </comment>
    <comment ref="B40" authorId="0" shapeId="0">
      <text>
        <r>
          <rPr>
            <sz val="10"/>
            <color rgb="FF000000"/>
            <rFont val="Arial"/>
            <family val="2"/>
          </rPr>
          <t>صافي الدخل</t>
        </r>
      </text>
    </comment>
    <comment ref="B42" authorId="0" shapeId="0">
      <text>
        <r>
          <rPr>
            <sz val="10"/>
            <color rgb="FF000000"/>
            <rFont val="Arial"/>
            <family val="2"/>
          </rPr>
          <t>المدخرات التراكمي</t>
        </r>
      </text>
    </comment>
  </commentList>
</comments>
</file>

<file path=xl/comments4.xml><?xml version="1.0" encoding="utf-8"?>
<comments xmlns="http://schemas.openxmlformats.org/spreadsheetml/2006/main">
  <authors>
    <author>Talya Lockman-Fine</author>
  </authors>
  <commentList>
    <comment ref="B1" authorId="0" shapeId="0">
      <text>
        <r>
          <rPr>
            <sz val="10"/>
            <color rgb="FF000000"/>
            <rFont val="Arial"/>
            <family val="2"/>
          </rPr>
          <t>مقارنة شهر إلى شهر</t>
        </r>
      </text>
    </comment>
    <comment ref="B3" authorId="0" shapeId="0">
      <text>
        <r>
          <rPr>
            <sz val="10"/>
            <color rgb="FF000000"/>
            <rFont val="Arial"/>
            <family val="2"/>
          </rPr>
          <t>اختر الشهر الحالي</t>
        </r>
      </text>
    </comment>
    <comment ref="E3" authorId="0" shapeId="0">
      <text>
        <r>
          <rPr>
            <sz val="10"/>
            <color rgb="FF000000"/>
            <rFont val="Arial"/>
            <family val="2"/>
          </rPr>
          <t>اختر الشهر المقترح</t>
        </r>
      </text>
    </comment>
    <comment ref="B6" authorId="0" shapeId="0">
      <text>
        <r>
          <rPr>
            <sz val="10"/>
            <color rgb="FF000000"/>
            <rFont val="Arial"/>
            <family val="2"/>
          </rPr>
          <t>المدخلات</t>
        </r>
      </text>
    </comment>
    <comment ref="G6" authorId="0" shapeId="0">
      <text>
        <r>
          <rPr>
            <sz val="10"/>
            <color rgb="FF000000"/>
            <rFont val="Arial"/>
            <family val="2"/>
          </rPr>
          <t>المخرجات</t>
        </r>
      </text>
    </comment>
    <comment ref="C7" authorId="0" shapeId="0">
      <text>
        <r>
          <rPr>
            <sz val="10"/>
            <color rgb="FF000000"/>
            <rFont val="Arial"/>
            <family val="2"/>
          </rPr>
          <t>تيار</t>
        </r>
      </text>
    </comment>
    <comment ref="E7" authorId="0" shapeId="0">
      <text>
        <r>
          <rPr>
            <sz val="10"/>
            <color rgb="FF000000"/>
            <rFont val="Arial"/>
            <family val="2"/>
          </rPr>
          <t>محدث</t>
        </r>
      </text>
    </comment>
    <comment ref="H7" authorId="0" shapeId="0">
      <text>
        <r>
          <rPr>
            <sz val="10"/>
            <color rgb="FF000000"/>
            <rFont val="Arial"/>
            <family val="2"/>
          </rPr>
          <t>تيار</t>
        </r>
      </text>
    </comment>
    <comment ref="J7" authorId="0" shapeId="0">
      <text>
        <r>
          <rPr>
            <sz val="10"/>
            <color rgb="FF000000"/>
            <rFont val="Arial"/>
            <family val="2"/>
          </rPr>
          <t>محدث</t>
        </r>
      </text>
    </comment>
    <comment ref="B8" authorId="0" shapeId="0">
      <text>
        <r>
          <rPr>
            <sz val="10"/>
            <color rgb="FF000000"/>
            <rFont val="Arial"/>
            <family val="2"/>
          </rPr>
          <t>حجم الأسرة</t>
        </r>
      </text>
    </comment>
    <comment ref="G8" authorId="0" shapeId="0">
      <text>
        <r>
          <rPr>
            <sz val="10"/>
            <color rgb="FF000000"/>
            <rFont val="Arial"/>
            <family val="2"/>
          </rPr>
          <t>الإيرادات</t>
        </r>
      </text>
    </comment>
    <comment ref="B9" authorId="0" shapeId="0">
      <text>
        <r>
          <rPr>
            <sz val="18"/>
            <color rgb="FF000000"/>
            <rFont val="Arial"/>
            <family val="2"/>
          </rPr>
          <t xml:space="preserve">عدد البالغين
</t>
        </r>
        <r>
          <rPr>
            <sz val="18"/>
            <color rgb="FF000000"/>
            <rFont val="Arial"/>
            <family val="2"/>
          </rPr>
          <t xml:space="preserve">
</t>
        </r>
        <r>
          <rPr>
            <sz val="18"/>
            <color rgb="FF000000"/>
            <rFont val="Arial"/>
            <family val="2"/>
          </rPr>
          <t xml:space="preserve">
</t>
        </r>
      </text>
    </comment>
    <comment ref="G9" authorId="0" shapeId="0">
      <text>
        <r>
          <rPr>
            <sz val="10"/>
            <color rgb="FF000000"/>
            <rFont val="Arial"/>
            <family val="2"/>
          </rPr>
          <t>توظيف</t>
        </r>
      </text>
    </comment>
    <comment ref="B11" authorId="0" shapeId="0">
      <text>
        <r>
          <rPr>
            <sz val="10"/>
            <color rgb="FF000000"/>
            <rFont val="Arial"/>
            <family val="2"/>
          </rPr>
          <t>البالغين العاملين</t>
        </r>
      </text>
    </comment>
    <comment ref="B12" authorId="0" shapeId="0">
      <text>
        <r>
          <rPr>
            <sz val="10"/>
            <color rgb="FF000000"/>
            <rFont val="Arial"/>
            <family val="2"/>
          </rPr>
          <t>الأطفال العاملين</t>
        </r>
      </text>
    </comment>
    <comment ref="B13" authorId="0" shapeId="0">
      <text>
        <r>
          <rPr>
            <sz val="10"/>
            <color rgb="FF000000"/>
            <rFont val="Arial"/>
            <family val="2"/>
          </rPr>
          <t>مجموع حجم الأسرة</t>
        </r>
      </text>
    </comment>
    <comment ref="B14" authorId="0" shapeId="0">
      <text>
        <r>
          <rPr>
            <sz val="10"/>
            <color rgb="FF000000"/>
            <rFont val="Arial"/>
            <family val="2"/>
          </rPr>
          <t>منح</t>
        </r>
      </text>
    </comment>
    <comment ref="G15" authorId="0" shapeId="0">
      <text>
        <r>
          <rPr>
            <sz val="10"/>
            <color rgb="FF000000"/>
            <rFont val="Arial"/>
            <family val="2"/>
          </rPr>
          <t>شارك</t>
        </r>
        <r>
          <rPr>
            <sz val="10"/>
            <color rgb="FF000000"/>
            <rFont val="Arial"/>
            <family val="2"/>
          </rPr>
          <t xml:space="preserve"> </t>
        </r>
        <r>
          <rPr>
            <sz val="10"/>
            <color rgb="FF000000"/>
            <rFont val="Arial"/>
            <family val="2"/>
          </rPr>
          <t>في</t>
        </r>
        <r>
          <rPr>
            <sz val="10"/>
            <color rgb="FF000000"/>
            <rFont val="Arial"/>
            <family val="2"/>
          </rPr>
          <t xml:space="preserve"> </t>
        </r>
        <r>
          <rPr>
            <sz val="10"/>
            <color rgb="FF000000"/>
            <rFont val="Arial"/>
            <family val="2"/>
          </rPr>
          <t>رعاية</t>
        </r>
      </text>
    </comment>
    <comment ref="B16" authorId="0" shapeId="0">
      <text>
        <r>
          <rPr>
            <sz val="10"/>
            <color rgb="FF000000"/>
            <rFont val="Arial"/>
            <family val="2"/>
          </rPr>
          <t>خصائص الأسرة</t>
        </r>
      </text>
    </comment>
    <comment ref="G16" authorId="0" shapeId="0">
      <text>
        <r>
          <rPr>
            <sz val="10"/>
            <color rgb="FF000000"/>
            <rFont val="Arial"/>
            <family val="2"/>
          </rPr>
          <t>النفقات</t>
        </r>
      </text>
    </comment>
    <comment ref="B17" authorId="0" shapeId="0">
      <text>
        <r>
          <rPr>
            <sz val="10"/>
            <color rgb="FF000000"/>
            <rFont val="Arial"/>
            <family val="2"/>
          </rPr>
          <t>المعاقين</t>
        </r>
      </text>
    </comment>
    <comment ref="G17" authorId="0" shapeId="0">
      <text>
        <r>
          <rPr>
            <sz val="10"/>
            <color rgb="FF000000"/>
            <rFont val="Arial"/>
            <family val="2"/>
          </rPr>
          <t>تأجير</t>
        </r>
      </text>
    </comment>
    <comment ref="B18" authorId="0" shapeId="0">
      <text>
        <r>
          <rPr>
            <sz val="10"/>
            <color rgb="FF000000"/>
            <rFont val="Arial"/>
            <family val="2"/>
          </rPr>
          <t>كبار السن (أكثر من 60)</t>
        </r>
      </text>
    </comment>
    <comment ref="G18" authorId="0" shapeId="0">
      <text>
        <r>
          <rPr>
            <sz val="10"/>
            <color rgb="FF000000"/>
            <rFont val="Arial"/>
            <family val="2"/>
          </rPr>
          <t>ماء</t>
        </r>
      </text>
    </comment>
    <comment ref="B19" authorId="0" shapeId="0">
      <text>
        <r>
          <rPr>
            <sz val="10"/>
            <color rgb="FF000000"/>
            <rFont val="Arial"/>
            <family val="2"/>
          </rPr>
          <t>عدد الأطفال دون سن السادسة</t>
        </r>
      </text>
    </comment>
    <comment ref="G19" authorId="0" shapeId="0">
      <text>
        <r>
          <rPr>
            <sz val="10"/>
            <color rgb="FF000000"/>
            <rFont val="Arial"/>
            <family val="2"/>
          </rPr>
          <t>كهرباء</t>
        </r>
      </text>
    </comment>
    <comment ref="B20" authorId="0" shapeId="0">
      <text>
        <r>
          <rPr>
            <sz val="10"/>
            <color rgb="FF000000"/>
            <rFont val="Arial"/>
            <family val="2"/>
          </rPr>
          <t>فترة مساعدة الإيجار</t>
        </r>
      </text>
    </comment>
    <comment ref="G20" authorId="0" shapeId="0">
      <text>
        <r>
          <rPr>
            <sz val="10"/>
            <color rgb="FF000000"/>
            <rFont val="Arial"/>
            <family val="2"/>
          </rPr>
          <t>نفط</t>
        </r>
      </text>
    </comment>
    <comment ref="G21" authorId="0" shapeId="0">
      <text>
        <r>
          <rPr>
            <sz val="10"/>
            <color rgb="FF000000"/>
            <rFont val="Arial"/>
            <family val="2"/>
          </rPr>
          <t>غاز</t>
        </r>
      </text>
    </comment>
    <comment ref="B22" authorId="0" shapeId="0">
      <text>
        <r>
          <rPr>
            <sz val="10"/>
            <color rgb="FF000000"/>
            <rFont val="Arial"/>
            <family val="2"/>
          </rPr>
          <t>دخل</t>
        </r>
      </text>
    </comment>
    <comment ref="G22" authorId="0" shapeId="0">
      <text>
        <r>
          <rPr>
            <sz val="10"/>
            <color rgb="FF000000"/>
            <rFont val="Arial"/>
            <family val="2"/>
          </rPr>
          <t>محلات البقالة</t>
        </r>
      </text>
    </comment>
    <comment ref="B23" authorId="0" shapeId="0">
      <text>
        <r>
          <rPr>
            <sz val="10"/>
            <color rgb="FF000000"/>
            <rFont val="Arial"/>
            <family val="2"/>
          </rPr>
          <t>دخل الأسرة</t>
        </r>
      </text>
    </comment>
    <comment ref="G23" authorId="0" shapeId="0">
      <text>
        <r>
          <rPr>
            <sz val="10"/>
            <color rgb="FF000000"/>
            <rFont val="Arial"/>
            <family val="2"/>
          </rPr>
          <t>الأثاث / أوعية / المنزلية</t>
        </r>
      </text>
    </comment>
    <comment ref="G24" authorId="0" shapeId="0">
      <text>
        <r>
          <rPr>
            <sz val="10"/>
            <color rgb="FF000000"/>
            <rFont val="Arial"/>
            <family val="2"/>
          </rPr>
          <t>هاتف</t>
        </r>
      </text>
    </comment>
    <comment ref="B25" authorId="0" shapeId="0">
      <text>
        <r>
          <rPr>
            <sz val="10"/>
            <color rgb="FF000000"/>
            <rFont val="Arial"/>
            <family val="2"/>
          </rPr>
          <t>إسكان</t>
        </r>
      </text>
    </comment>
    <comment ref="G25" authorId="0" shapeId="0">
      <text>
        <r>
          <rPr>
            <sz val="10"/>
            <color rgb="FF000000"/>
            <rFont val="Arial"/>
            <family val="2"/>
          </rPr>
          <t>الإنترنت</t>
        </r>
      </text>
    </comment>
    <comment ref="B26" authorId="0" shapeId="0">
      <text>
        <r>
          <rPr>
            <sz val="10"/>
            <color rgb="FF000000"/>
            <rFont val="Arial"/>
            <family val="2"/>
          </rPr>
          <t>مدينة</t>
        </r>
      </text>
    </comment>
    <comment ref="G26" authorId="0" shapeId="0">
      <text>
        <r>
          <rPr>
            <sz val="10"/>
            <color rgb="FF000000"/>
            <rFont val="Arial"/>
            <family val="2"/>
          </rPr>
          <t>الحاسوب</t>
        </r>
      </text>
    </comment>
    <comment ref="B27" authorId="0" shapeId="0">
      <text>
        <r>
          <rPr>
            <sz val="10"/>
            <color rgb="FF000000"/>
            <rFont val="Arial"/>
            <family val="2"/>
          </rPr>
          <t>منطقة</t>
        </r>
      </text>
    </comment>
    <comment ref="G27" authorId="0" shapeId="0">
      <text>
        <r>
          <rPr>
            <sz val="10"/>
            <color rgb="FF000000"/>
            <rFont val="Arial"/>
            <family val="2"/>
          </rPr>
          <t>ملابس</t>
        </r>
      </text>
    </comment>
    <comment ref="B28" authorId="0" shapeId="0">
      <text>
        <r>
          <rPr>
            <sz val="10"/>
            <color rgb="FF000000"/>
            <rFont val="Arial"/>
            <family val="2"/>
          </rPr>
          <t>طول أول عقد إيجار</t>
        </r>
      </text>
    </comment>
    <comment ref="G28" authorId="0" shapeId="0">
      <text>
        <r>
          <rPr>
            <sz val="10"/>
            <color rgb="FF000000"/>
            <rFont val="Arial"/>
            <family val="2"/>
          </rPr>
          <t>اللوازم المدرسية</t>
        </r>
      </text>
    </comment>
    <comment ref="B29" authorId="0" shapeId="0">
      <text>
        <r>
          <rPr>
            <sz val="10"/>
            <color rgb="FF000000"/>
            <rFont val="Arial"/>
            <family val="2"/>
          </rPr>
          <t>إيجار</t>
        </r>
      </text>
    </comment>
    <comment ref="G29" authorId="0" shapeId="0">
      <text>
        <r>
          <rPr>
            <sz val="10"/>
            <color rgb="FF000000"/>
            <rFont val="Arial"/>
            <family val="2"/>
          </rPr>
          <t>قيمة السيارة</t>
        </r>
      </text>
    </comment>
    <comment ref="B30" authorId="0" shapeId="0">
      <text>
        <r>
          <rPr>
            <sz val="10"/>
            <color rgb="FF000000"/>
            <rFont val="Arial"/>
            <family val="2"/>
          </rPr>
          <t>عدد غرف النوم</t>
        </r>
      </text>
    </comment>
    <comment ref="G30" authorId="0" shapeId="0">
      <text>
        <r>
          <rPr>
            <sz val="10"/>
            <color rgb="FF000000"/>
            <rFont val="Arial"/>
            <family val="2"/>
          </rPr>
          <t>غاز السيارة</t>
        </r>
      </text>
    </comment>
    <comment ref="B31" authorId="0" shapeId="0">
      <text>
        <r>
          <rPr>
            <sz val="10"/>
            <color rgb="FF000000"/>
            <rFont val="Arial"/>
            <family val="2"/>
          </rPr>
          <t>ماء</t>
        </r>
      </text>
    </comment>
    <comment ref="G31" authorId="0" shapeId="0">
      <text>
        <r>
          <rPr>
            <sz val="10"/>
            <color rgb="FF000000"/>
            <rFont val="Arial"/>
            <family val="2"/>
          </rPr>
          <t>النقل العام</t>
        </r>
      </text>
    </comment>
    <comment ref="B32" authorId="0" shapeId="0">
      <text>
        <r>
          <rPr>
            <sz val="10"/>
            <color rgb="FF000000"/>
            <rFont val="Arial"/>
            <family val="2"/>
          </rPr>
          <t>كهرباء</t>
        </r>
      </text>
    </comment>
    <comment ref="G32" authorId="0" shapeId="0">
      <text>
        <r>
          <rPr>
            <sz val="10"/>
            <color rgb="FF000000"/>
            <rFont val="Arial"/>
            <family val="2"/>
          </rPr>
          <t>غاز السيارة</t>
        </r>
      </text>
    </comment>
    <comment ref="B33" authorId="0" shapeId="0">
      <text>
        <r>
          <rPr>
            <sz val="10"/>
            <color rgb="FF000000"/>
            <rFont val="Arial"/>
            <family val="2"/>
          </rPr>
          <t>النفط أو الغاز</t>
        </r>
      </text>
    </comment>
    <comment ref="G33" authorId="0" shapeId="0">
      <text>
        <r>
          <rPr>
            <sz val="10"/>
            <color rgb="FF000000"/>
            <rFont val="Arial"/>
            <family val="2"/>
          </rPr>
          <t>طبي</t>
        </r>
      </text>
    </comment>
    <comment ref="B34" authorId="0" shapeId="0">
      <text>
        <r>
          <rPr>
            <sz val="10"/>
            <color rgb="FF000000"/>
            <rFont val="Arial"/>
            <family val="2"/>
          </rPr>
          <t>غاز</t>
        </r>
      </text>
    </comment>
    <comment ref="G34" authorId="0" shapeId="0">
      <text>
        <r>
          <rPr>
            <sz val="10"/>
            <color rgb="FF000000"/>
            <rFont val="Arial"/>
            <family val="2"/>
          </rPr>
          <t>الأسنان</t>
        </r>
      </text>
    </comment>
    <comment ref="B35" authorId="0" shapeId="0">
      <text>
        <r>
          <rPr>
            <sz val="10"/>
            <color rgb="FF000000"/>
            <rFont val="Arial"/>
            <family val="2"/>
          </rPr>
          <t>نفط</t>
        </r>
      </text>
    </comment>
    <comment ref="G35" authorId="0" shapeId="0">
      <text>
        <r>
          <rPr>
            <sz val="10"/>
            <color rgb="FF000000"/>
            <rFont val="Arial"/>
            <family val="2"/>
          </rPr>
          <t>إجمالي قرض السفر</t>
        </r>
      </text>
    </comment>
    <comment ref="B36" authorId="0" shapeId="0">
      <text>
        <r>
          <rPr>
            <sz val="10"/>
            <color rgb="FF000000"/>
            <rFont val="Arial"/>
            <family val="2"/>
          </rPr>
          <t>مجموع</t>
        </r>
      </text>
    </comment>
    <comment ref="G36" authorId="0" shapeId="0">
      <text>
        <r>
          <rPr>
            <sz val="10"/>
            <color rgb="FF000000"/>
            <rFont val="Arial"/>
            <family val="2"/>
          </rPr>
          <t>بطاقة</t>
        </r>
        <r>
          <rPr>
            <sz val="10"/>
            <color rgb="FF000000"/>
            <rFont val="Arial"/>
            <family val="2"/>
          </rPr>
          <t xml:space="preserve"> </t>
        </r>
        <r>
          <rPr>
            <sz val="10"/>
            <color rgb="FF000000"/>
            <rFont val="Arial"/>
            <family val="2"/>
          </rPr>
          <t>خضراء</t>
        </r>
      </text>
    </comment>
    <comment ref="G37" authorId="0" shapeId="0">
      <text>
        <r>
          <rPr>
            <sz val="10"/>
            <color rgb="FF000000"/>
            <rFont val="Arial"/>
            <family val="2"/>
          </rPr>
          <t>آخر</t>
        </r>
      </text>
    </comment>
    <comment ref="B38" authorId="0" shapeId="0">
      <text>
        <r>
          <rPr>
            <sz val="10"/>
            <color rgb="FF000000"/>
            <rFont val="Arial"/>
            <family val="2"/>
          </rPr>
          <t>ممتلكات</t>
        </r>
      </text>
    </comment>
    <comment ref="G38" authorId="0" shapeId="0">
      <text>
        <r>
          <rPr>
            <sz val="10"/>
            <color rgb="FF000000"/>
            <rFont val="Arial"/>
            <family val="2"/>
          </rPr>
          <t>آخر</t>
        </r>
        <r>
          <rPr>
            <sz val="10"/>
            <color rgb="FF000000"/>
            <rFont val="Arial"/>
            <family val="2"/>
          </rPr>
          <t xml:space="preserve">
</t>
        </r>
      </text>
    </comment>
    <comment ref="B39" authorId="0" shapeId="0">
      <text>
        <r>
          <rPr>
            <sz val="10"/>
            <color rgb="FF000000"/>
            <rFont val="Arial"/>
            <family val="2"/>
          </rPr>
          <t>سيارة</t>
        </r>
      </text>
    </comment>
    <comment ref="G39" authorId="0" shapeId="0">
      <text>
        <r>
          <rPr>
            <sz val="10"/>
            <color rgb="FF000000"/>
            <rFont val="Arial"/>
            <family val="2"/>
          </rPr>
          <t>آخر</t>
        </r>
        <r>
          <rPr>
            <sz val="10"/>
            <color rgb="FF000000"/>
            <rFont val="Arial"/>
            <family val="2"/>
          </rPr>
          <t xml:space="preserve">
</t>
        </r>
      </text>
    </comment>
    <comment ref="B40" authorId="0" shapeId="0">
      <text>
        <r>
          <rPr>
            <sz val="10"/>
            <color rgb="FF000000"/>
            <rFont val="Arial"/>
            <family val="2"/>
          </rPr>
          <t>قيمة السيارة</t>
        </r>
      </text>
    </comment>
    <comment ref="G40" authorId="0" shapeId="0">
      <text>
        <r>
          <rPr>
            <sz val="10"/>
            <color rgb="FF000000"/>
            <rFont val="Arial"/>
            <family val="2"/>
          </rPr>
          <t>صافي الدخل</t>
        </r>
      </text>
    </comment>
    <comment ref="B41" authorId="0" shapeId="0">
      <text>
        <r>
          <rPr>
            <sz val="10"/>
            <color rgb="FF000000"/>
            <rFont val="Arial"/>
            <family val="2"/>
          </rPr>
          <t>السيولة النقدية</t>
        </r>
      </text>
    </comment>
    <comment ref="B42" authorId="0" shapeId="0">
      <text>
        <r>
          <rPr>
            <sz val="10"/>
            <color rgb="FF000000"/>
            <rFont val="Arial"/>
            <family val="2"/>
          </rPr>
          <t>مدخرات</t>
        </r>
      </text>
    </comment>
    <comment ref="B43" authorId="0" shapeId="0">
      <text>
        <r>
          <rPr>
            <sz val="10"/>
            <color rgb="FF000000"/>
            <rFont val="Arial"/>
            <family val="2"/>
          </rPr>
          <t>مخازن</t>
        </r>
      </text>
    </comment>
    <comment ref="B44" authorId="0" shapeId="0">
      <text>
        <r>
          <rPr>
            <sz val="10"/>
            <color rgb="FF000000"/>
            <rFont val="Arial"/>
            <family val="2"/>
          </rPr>
          <t>الربط</t>
        </r>
      </text>
    </comment>
    <comment ref="B45" authorId="0" shapeId="0">
      <text>
        <r>
          <rPr>
            <sz val="10"/>
            <color rgb="FF000000"/>
            <rFont val="Arial"/>
            <family val="2"/>
          </rPr>
          <t>مجموع</t>
        </r>
      </text>
    </comment>
    <comment ref="B48" authorId="0" shapeId="0">
      <text>
        <r>
          <rPr>
            <sz val="10"/>
            <color rgb="FF000000"/>
            <rFont val="Arial"/>
            <family val="2"/>
          </rPr>
          <t>محلات البقالة</t>
        </r>
      </text>
    </comment>
    <comment ref="B49" authorId="0" shapeId="0">
      <text>
        <r>
          <rPr>
            <sz val="10"/>
            <color rgb="FF000000"/>
            <rFont val="Arial"/>
            <family val="2"/>
          </rPr>
          <t>هاتف</t>
        </r>
      </text>
    </comment>
    <comment ref="B50" authorId="0" shapeId="0">
      <text>
        <r>
          <rPr>
            <sz val="10"/>
            <color rgb="FF000000"/>
            <rFont val="Arial"/>
            <family val="2"/>
          </rPr>
          <t>الإنترنت</t>
        </r>
      </text>
    </comment>
    <comment ref="B51" authorId="0" shapeId="0">
      <text>
        <r>
          <rPr>
            <sz val="10"/>
            <color rgb="FF000000"/>
            <rFont val="Arial"/>
            <family val="2"/>
          </rPr>
          <t>الهاتف البدني</t>
        </r>
      </text>
    </comment>
    <comment ref="B52" authorId="0" shapeId="0">
      <text>
        <r>
          <rPr>
            <sz val="10"/>
            <color rgb="FF000000"/>
            <rFont val="Arial"/>
            <family val="2"/>
          </rPr>
          <t>الحاسوب</t>
        </r>
      </text>
    </comment>
    <comment ref="B53" authorId="0" shapeId="0">
      <text>
        <r>
          <rPr>
            <sz val="10"/>
            <color rgb="FF000000"/>
            <rFont val="Arial"/>
            <family val="2"/>
          </rPr>
          <t>ملابس</t>
        </r>
      </text>
    </comment>
    <comment ref="B54" authorId="0" shapeId="0">
      <text>
        <r>
          <rPr>
            <sz val="10"/>
            <color rgb="FF000000"/>
            <rFont val="Arial"/>
            <family val="2"/>
          </rPr>
          <t>الأثاث / أوعية / المنزلية</t>
        </r>
      </text>
    </comment>
    <comment ref="B55" authorId="0" shapeId="0">
      <text>
        <r>
          <rPr>
            <sz val="10"/>
            <color rgb="FF000000"/>
            <rFont val="Arial"/>
            <family val="2"/>
          </rPr>
          <t>اللوازم المدرسية</t>
        </r>
      </text>
    </comment>
    <comment ref="B56" authorId="0" shapeId="0">
      <text>
        <r>
          <rPr>
            <sz val="10"/>
            <color rgb="FF000000"/>
            <rFont val="Arial"/>
            <family val="2"/>
          </rPr>
          <t>طبي</t>
        </r>
      </text>
    </comment>
    <comment ref="B57" authorId="0" shapeId="0">
      <text>
        <r>
          <rPr>
            <sz val="10"/>
            <color rgb="FF000000"/>
            <rFont val="Arial"/>
            <family val="2"/>
          </rPr>
          <t>بطاقة خضراء</t>
        </r>
      </text>
    </comment>
    <comment ref="B58" authorId="0" shapeId="0">
      <text>
        <r>
          <rPr>
            <sz val="10"/>
            <color rgb="FF000000"/>
            <rFont val="Arial"/>
            <family val="2"/>
          </rPr>
          <t>الشهر بطاقة خضراء</t>
        </r>
      </text>
    </comment>
    <comment ref="B59" authorId="0" shapeId="0">
      <text>
        <r>
          <rPr>
            <sz val="10"/>
            <color rgb="FF000000"/>
            <rFont val="Arial"/>
            <family val="2"/>
          </rPr>
          <t>الأسنان</t>
        </r>
      </text>
    </comment>
    <comment ref="B60" authorId="0" shapeId="0">
      <text>
        <r>
          <rPr>
            <sz val="10"/>
            <color rgb="FF000000"/>
            <rFont val="Arial"/>
            <family val="2"/>
          </rPr>
          <t>تكاليف الرعاية التابعة</t>
        </r>
      </text>
    </comment>
    <comment ref="B61" authorId="0" shapeId="0">
      <text>
        <r>
          <rPr>
            <sz val="10"/>
            <color rgb="FF000000"/>
            <rFont val="Arial"/>
            <family val="2"/>
          </rPr>
          <t>إجمالي قرض السفر</t>
        </r>
      </text>
    </comment>
    <comment ref="B62" authorId="0" shapeId="0">
      <text>
        <r>
          <rPr>
            <sz val="10"/>
            <color rgb="FF000000"/>
            <rFont val="Arial"/>
            <family val="2"/>
          </rPr>
          <t>الإطار الزمني لسفر السفر</t>
        </r>
      </text>
    </comment>
    <comment ref="B63" authorId="0" shapeId="0">
      <text>
        <r>
          <rPr>
            <sz val="10"/>
            <color rgb="FF000000"/>
            <rFont val="Arial"/>
            <family val="2"/>
          </rPr>
          <t>سداد قرض السفر</t>
        </r>
      </text>
    </comment>
    <comment ref="B65" authorId="0" shapeId="0">
      <text>
        <r>
          <rPr>
            <sz val="10"/>
            <color rgb="FF000000"/>
            <rFont val="Arial"/>
            <family val="2"/>
          </rPr>
          <t>نوع المواصلات</t>
        </r>
      </text>
    </comment>
    <comment ref="B66" authorId="0" shapeId="0">
      <text>
        <r>
          <rPr>
            <sz val="10"/>
            <color rgb="FF000000"/>
            <rFont val="Arial"/>
            <family val="2"/>
          </rPr>
          <t>النقل العام</t>
        </r>
      </text>
    </comment>
    <comment ref="B67" authorId="0" shapeId="0">
      <text>
        <r>
          <rPr>
            <sz val="10"/>
            <color rgb="FF000000"/>
            <rFont val="Arial"/>
            <family val="2"/>
          </rPr>
          <t>غاز السيارة</t>
        </r>
      </text>
    </comment>
    <comment ref="B68" authorId="0" shapeId="0">
      <text>
        <r>
          <rPr>
            <sz val="10"/>
            <color rgb="FF000000"/>
            <rFont val="Arial"/>
            <family val="2"/>
          </rPr>
          <t>غاز السيارة</t>
        </r>
      </text>
    </comment>
  </commentList>
</comments>
</file>

<file path=xl/sharedStrings.xml><?xml version="1.0" encoding="utf-8"?>
<sst xmlns="http://schemas.openxmlformats.org/spreadsheetml/2006/main" count="802" uniqueCount="403">
  <si>
    <t>Family Size</t>
  </si>
  <si>
    <t>Car</t>
  </si>
  <si>
    <t>Number of Adults</t>
  </si>
  <si>
    <t>Input</t>
  </si>
  <si>
    <t>Notes</t>
  </si>
  <si>
    <t>Employed Adults</t>
  </si>
  <si>
    <t>Employed Children</t>
  </si>
  <si>
    <t>Family Characteristics</t>
  </si>
  <si>
    <t>Family Contribution</t>
  </si>
  <si>
    <t>Rent</t>
  </si>
  <si>
    <t>R+P Grant</t>
  </si>
  <si>
    <t>Gas</t>
  </si>
  <si>
    <t>Water</t>
  </si>
  <si>
    <t>Oil</t>
  </si>
  <si>
    <t>Physical Phone</t>
  </si>
  <si>
    <t>Internet</t>
  </si>
  <si>
    <t>Computer</t>
  </si>
  <si>
    <t>Furniture/Utensils/Household</t>
  </si>
  <si>
    <t>Clothing</t>
  </si>
  <si>
    <t>School supplies</t>
  </si>
  <si>
    <t>Travel Loan Repayment</t>
  </si>
  <si>
    <t>Maximum New Haven Rental Rates</t>
  </si>
  <si>
    <t>New Haven Max</t>
  </si>
  <si>
    <t>Time Period</t>
  </si>
  <si>
    <t>Energy Distribution</t>
  </si>
  <si>
    <t>LIHEAP Eligibility Income requirements</t>
  </si>
  <si>
    <t>Household Size*</t>
  </si>
  <si>
    <t>Maximum Income Level (Per Year)</t>
  </si>
  <si>
    <t>January</t>
  </si>
  <si>
    <t>February</t>
  </si>
  <si>
    <t>March</t>
  </si>
  <si>
    <t>April</t>
  </si>
  <si>
    <t>May</t>
  </si>
  <si>
    <t>June</t>
  </si>
  <si>
    <t>July</t>
  </si>
  <si>
    <t>August</t>
  </si>
  <si>
    <t>September</t>
  </si>
  <si>
    <t>October</t>
  </si>
  <si>
    <t>November</t>
  </si>
  <si>
    <t>December</t>
  </si>
  <si>
    <t>Bethel</t>
  </si>
  <si>
    <t>Bridgewater</t>
  </si>
  <si>
    <t>Brookfield</t>
  </si>
  <si>
    <t>Danbury</t>
  </si>
  <si>
    <t>Darien</t>
  </si>
  <si>
    <t>Greenwich</t>
  </si>
  <si>
    <t>New Canaan</t>
  </si>
  <si>
    <t>New Fairfield</t>
  </si>
  <si>
    <t>New Milford</t>
  </si>
  <si>
    <t>Newtown</t>
  </si>
  <si>
    <t>Norwalk</t>
  </si>
  <si>
    <t>Redding</t>
  </si>
  <si>
    <t>Ridgefield</t>
  </si>
  <si>
    <t>Roxbury</t>
  </si>
  <si>
    <t>Sherman</t>
  </si>
  <si>
    <t>Stamford</t>
  </si>
  <si>
    <t>Washington</t>
  </si>
  <si>
    <t>Weston</t>
  </si>
  <si>
    <t>Westport</t>
  </si>
  <si>
    <t>Wilton</t>
  </si>
  <si>
    <t>Town</t>
  </si>
  <si>
    <t>Region</t>
  </si>
  <si>
    <t>A</t>
  </si>
  <si>
    <t>Andover</t>
  </si>
  <si>
    <t>Ashford</t>
  </si>
  <si>
    <t>Avon</t>
  </si>
  <si>
    <t>Berlin</t>
  </si>
  <si>
    <t>Bethany</t>
  </si>
  <si>
    <t>Bloomfield</t>
  </si>
  <si>
    <t>Bolton</t>
  </si>
  <si>
    <t>Bozrah</t>
  </si>
  <si>
    <t>Branford</t>
  </si>
  <si>
    <t>Bridgeport</t>
  </si>
  <si>
    <t>Bristol</t>
  </si>
  <si>
    <t>Brooklyn</t>
  </si>
  <si>
    <t>Burlington</t>
  </si>
  <si>
    <t>Canterbury</t>
  </si>
  <si>
    <t>Canton</t>
  </si>
  <si>
    <t>Chaplin</t>
  </si>
  <si>
    <t>Chester</t>
  </si>
  <si>
    <t>Clinton</t>
  </si>
  <si>
    <t>Colchester</t>
  </si>
  <si>
    <t>Columbia</t>
  </si>
  <si>
    <t>Coventry</t>
  </si>
  <si>
    <t>Cromwell</t>
  </si>
  <si>
    <t>Deep River</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</si>
  <si>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</si>
  <si>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</si>
  <si>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</si>
  <si>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</si>
  <si>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</si>
  <si>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</si>
  <si>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</si>
  <si>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</si>
  <si>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</si>
  <si>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</si>
  <si>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</si>
  <si>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</si>
  <si>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</si>
  <si>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</si>
  <si>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</si>
  <si>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Franklyn</t>
  </si>
  <si>
    <t>Glastonbury</t>
  </si>
  <si>
    <t>Granby</t>
  </si>
  <si>
    <t>Griswold</t>
  </si>
  <si>
    <t>Groton</t>
  </si>
  <si>
    <t>Guilford</t>
  </si>
  <si>
    <t>Haddam</t>
  </si>
  <si>
    <t>Hamden</t>
  </si>
  <si>
    <t>Hampton</t>
  </si>
  <si>
    <t>Hartford</t>
  </si>
  <si>
    <t>Hebron</t>
  </si>
  <si>
    <t>Killingly</t>
  </si>
  <si>
    <t>Killingworth</t>
  </si>
  <si>
    <t>Lebanon</t>
  </si>
  <si>
    <t>Ledyard</t>
  </si>
  <si>
    <t>Lisbon</t>
  </si>
  <si>
    <t>Lyme</t>
  </si>
  <si>
    <t>Madison</t>
  </si>
  <si>
    <t>Manchester</t>
  </si>
  <si>
    <t>Mansfield</t>
  </si>
  <si>
    <t>Meriden</t>
  </si>
  <si>
    <t>Marlborough</t>
  </si>
  <si>
    <t>Middlefield</t>
  </si>
  <si>
    <t>Middletown</t>
  </si>
  <si>
    <t>Milford</t>
  </si>
  <si>
    <t>Monroe</t>
  </si>
  <si>
    <t>Montville</t>
  </si>
  <si>
    <t>New Britain</t>
  </si>
  <si>
    <t>New Haven</t>
  </si>
  <si>
    <t>Newington</t>
  </si>
  <si>
    <t>New London</t>
  </si>
  <si>
    <t>North Branford</t>
  </si>
  <si>
    <t>North Haven</t>
  </si>
  <si>
    <t>North Stonington</t>
  </si>
  <si>
    <t>Norwich</t>
  </si>
  <si>
    <t>Old Lyme</t>
  </si>
  <si>
    <t>Old Saybrook</t>
  </si>
  <si>
    <t>Orange</t>
  </si>
  <si>
    <t>Plainfield</t>
  </si>
  <si>
    <t>Plainville</t>
  </si>
  <si>
    <t>Plymouth</t>
  </si>
  <si>
    <t>Pomfret</t>
  </si>
  <si>
    <t>Portland</t>
  </si>
  <si>
    <t>Preston</t>
  </si>
  <si>
    <t>Putnam</t>
  </si>
  <si>
    <t>Rocky Hill</t>
  </si>
  <si>
    <t>Salem</t>
  </si>
  <si>
    <t>Scotland</t>
  </si>
  <si>
    <t>Shelton</t>
  </si>
  <si>
    <t>Simsbury</t>
  </si>
  <si>
    <t>Somers</t>
  </si>
  <si>
    <t>Southington</t>
  </si>
  <si>
    <t>South Windsor</t>
  </si>
  <si>
    <t>Sprague</t>
  </si>
  <si>
    <t>Stafford</t>
  </si>
  <si>
    <t>Sterling</t>
  </si>
  <si>
    <t>Stonington</t>
  </si>
  <si>
    <t>Stratford</t>
  </si>
  <si>
    <t>Suffield</t>
  </si>
  <si>
    <t>Thompson</t>
  </si>
  <si>
    <t>Tolland</t>
  </si>
  <si>
    <t>Trumbull</t>
  </si>
  <si>
    <t>Union</t>
  </si>
  <si>
    <t>Vernon</t>
  </si>
  <si>
    <t>Voluntown</t>
  </si>
  <si>
    <t>Wallingford</t>
  </si>
  <si>
    <t>Waterford</t>
  </si>
  <si>
    <t>Westbrook</t>
  </si>
  <si>
    <t>West Hartford</t>
  </si>
  <si>
    <t>West Haven</t>
  </si>
  <si>
    <t>Wethersfield</t>
  </si>
  <si>
    <t>Willington</t>
  </si>
  <si>
    <t>Windsor</t>
  </si>
  <si>
    <t>Windsor Locks</t>
  </si>
  <si>
    <t>Woodbridge</t>
  </si>
  <si>
    <t>Woodstock</t>
  </si>
  <si>
    <t>B</t>
  </si>
  <si>
    <t>Ansonia</t>
  </si>
  <si>
    <t>Barkhamsted</t>
  </si>
  <si>
    <t>Beacon Falls</t>
  </si>
  <si>
    <t>Bethlehem</t>
  </si>
  <si>
    <t>Canaan</t>
  </si>
  <si>
    <t>Cheshire</t>
  </si>
  <si>
    <t>Colebrook</t>
  </si>
  <si>
    <t>Cornwall</t>
  </si>
  <si>
    <t>Derby</t>
  </si>
  <si>
    <t>Goshen</t>
  </si>
  <si>
    <t>Hartland</t>
  </si>
  <si>
    <t>Hartwinton</t>
  </si>
  <si>
    <t>Kent</t>
  </si>
  <si>
    <t>Litchfield</t>
  </si>
  <si>
    <t>Middlebury</t>
  </si>
  <si>
    <t>Morris</t>
  </si>
  <si>
    <t>Naugatuck</t>
  </si>
  <si>
    <t>New Hartford</t>
  </si>
  <si>
    <t>Norfolk</t>
  </si>
  <si>
    <t>North Canaan</t>
  </si>
  <si>
    <t>Oxford</t>
  </si>
  <si>
    <t>Prospect</t>
  </si>
  <si>
    <t>Salisbury</t>
  </si>
  <si>
    <t>Seymour</t>
  </si>
  <si>
    <t>Sharon</t>
  </si>
  <si>
    <t>Southbury</t>
  </si>
  <si>
    <t>Thomaston</t>
  </si>
  <si>
    <t>Torrington</t>
  </si>
  <si>
    <t>Warren</t>
  </si>
  <si>
    <t>Waterbury</t>
  </si>
  <si>
    <t>Watertown</t>
  </si>
  <si>
    <t>Winchester</t>
  </si>
  <si>
    <t>Wolcott</t>
  </si>
  <si>
    <t>Woodbury</t>
  </si>
  <si>
    <t>C</t>
  </si>
  <si>
    <t>TFA Details</t>
  </si>
  <si>
    <t>Total Family Size</t>
  </si>
  <si>
    <t>SSI Details</t>
  </si>
  <si>
    <t>Disabled persons*</t>
  </si>
  <si>
    <t>If income is less than $1070/month, family is not receiving TFA assistance, and the family has disabled or elderly members, they receive $733 in assistance</t>
  </si>
  <si>
    <t>VERY basic model with following parameters:</t>
  </si>
  <si>
    <t>Car Insurance</t>
  </si>
  <si>
    <t>TFA REGIONS</t>
  </si>
  <si>
    <t>R+P Grant*</t>
  </si>
  <si>
    <t>RENT Details</t>
  </si>
  <si>
    <t>TFA Grant</t>
  </si>
  <si>
    <t>Half of full TFA monthly allowance goes to rent starting in month 2 and extending onwards until month 21 when TFA ends</t>
  </si>
  <si>
    <t>Number of Bedrooms</t>
  </si>
  <si>
    <t>Co-sponsors</t>
  </si>
  <si>
    <t>Covers difference between R+P/TFA contributions and full rent for Rental Assistance Period, then after that covers any difference between actual rent and maximum New Haven Rental Rates up to end of year 1, then covers nothing</t>
  </si>
  <si>
    <t>This is the remainder between full rent expense and subsidies above</t>
  </si>
  <si>
    <t>Rental Assistance Period**</t>
  </si>
  <si>
    <t>Monthly TFA contribution based on family size/region as per matrix below, lasting for a total of 21 months</t>
  </si>
  <si>
    <t>NA</t>
  </si>
  <si>
    <t>Oil or gas?</t>
  </si>
  <si>
    <t>ENERGY Details</t>
  </si>
  <si>
    <t>LIHEAP only provides assistance Nov-April, and only if the household falls below income limit shown to the right. Model assumes that family is eligible if they meet income requirements, and receives 660 over 6-month period if they have an elderly, disabled, or under-6 family member, 605 if they don't. This results in a monthly assistance of $110 for vulnerable families, $100.83 for non-vulnerable.</t>
  </si>
  <si>
    <t>Source: http://portal.ct.gov/DSS/Economic-Security/Winter-Heating-Assistance/Energy-Assistance---Winter-Heating/Eligibility</t>
  </si>
  <si>
    <t>Maximum Monthly Income</t>
  </si>
  <si>
    <t>Oil/Gas</t>
  </si>
  <si>
    <t>LIHEAP assistance?</t>
  </si>
  <si>
    <t>Number of Children under 6</t>
  </si>
  <si>
    <t>Number of Children Total</t>
  </si>
  <si>
    <t>SNAP Details</t>
  </si>
  <si>
    <t>To receive SNAP benefits in Connecticut, household income and other resources have to be under certain limits and are reviewed. For some households, there is also an asset limit.
The income standards for SNAP are based the federal poverty levels (FPL). All income standards listed in the following table below are monthly figures. There are gross and net income limits.  The  gross income limit is equal to 185% of the current Federal Poverty Level and is the amount of income the household has before taxes and deductions. The gross income limit applies to most households. The gross income limit does not apply to households in which at least one person is 60 years of age or older, or receives disability income. However, all households are subject to a monthly  net income limit. The net income limit is equal to the current Federal Poverty Level and is the amount left over after certain deductions are allowed.</t>
  </si>
  <si>
    <t>Gross Income Limit (185% of FPL)</t>
  </si>
  <si>
    <t>Net Income Limit (100% of FPL)</t>
  </si>
  <si>
    <t>Each additional member</t>
  </si>
  <si>
    <t>SNAP Calculations:</t>
  </si>
  <si>
    <t>Household include individuals &gt;60, disabled?</t>
  </si>
  <si>
    <t>Gross Income</t>
  </si>
  <si>
    <t>Gross Income Test Limit</t>
  </si>
  <si>
    <t>Gross Income Test Required?</t>
  </si>
  <si>
    <t>Pass Gross Income Test?</t>
  </si>
  <si>
    <t>Asset Test Required?</t>
  </si>
  <si>
    <t>Total Assets</t>
  </si>
  <si>
    <t>SNAP Asset Limit</t>
  </si>
  <si>
    <t>Assets</t>
  </si>
  <si>
    <t>Cash</t>
  </si>
  <si>
    <t>Savings</t>
  </si>
  <si>
    <t>Stocks</t>
  </si>
  <si>
    <t>Bonds</t>
  </si>
  <si>
    <t>Pass Asset Test?</t>
  </si>
  <si>
    <t>Subtract 20% of Income</t>
  </si>
  <si>
    <t>Standard Deduction</t>
  </si>
  <si>
    <t>Subtract Standard Deduction</t>
  </si>
  <si>
    <t>Source: http://portal.ct.gov/DSS/SNAP/Supplemental-Nutrition-Assistance-Program---SNAP/Eligibility
https://www.fns.usda.gov/snap/eligibility</t>
  </si>
  <si>
    <t>Dependent Care Expenses</t>
  </si>
  <si>
    <t>Subtract Dependent Care Expenses</t>
  </si>
  <si>
    <t>Medical Expenses</t>
  </si>
  <si>
    <t>Subtract Medical Expenses</t>
  </si>
  <si>
    <t>Total Shelter Costs</t>
  </si>
  <si>
    <t>Excess Shelter Costs</t>
  </si>
  <si>
    <t>Allowable Shelter Costs</t>
  </si>
  <si>
    <t>SNAP Max Shelter Deduction</t>
  </si>
  <si>
    <t>Net Monthly Income</t>
  </si>
  <si>
    <t>Pass Net Income Test?</t>
  </si>
  <si>
    <t>Net Income Test Required?</t>
  </si>
  <si>
    <t>Net Income Test Limit</t>
  </si>
  <si>
    <t>Benefit Calculation</t>
  </si>
  <si>
    <t>Max Allotment</t>
  </si>
  <si>
    <t>SNAP Eligibility Income requirements +  Standard Deduction + Max Allotment</t>
  </si>
  <si>
    <t>$   192</t>
  </si>
  <si>
    <t>$   352</t>
  </si>
  <si>
    <t>$   504</t>
  </si>
  <si>
    <t>$   640</t>
  </si>
  <si>
    <t>$   760</t>
  </si>
  <si>
    <t>$   913</t>
  </si>
  <si>
    <t>Max Allotment Amount</t>
  </si>
  <si>
    <t>TFA Eligibility Income requirements</t>
  </si>
  <si>
    <t>Household Size</t>
  </si>
  <si>
    <t>Income Limit (100% FPL)</t>
  </si>
  <si>
    <t>TFA Calculation</t>
  </si>
  <si>
    <t>Eligible for TFA? (If Child In Household)</t>
  </si>
  <si>
    <t>Income Test Limit</t>
  </si>
  <si>
    <t>Countable Income</t>
  </si>
  <si>
    <t>TFA Asset Requirements</t>
  </si>
  <si>
    <t>Vehicle</t>
  </si>
  <si>
    <t>Pass Income Test?</t>
  </si>
  <si>
    <t>Countable Assets</t>
  </si>
  <si>
    <t>Vehicle Value</t>
  </si>
  <si>
    <t>Pass Vehicle Test?</t>
  </si>
  <si>
    <t>Eligible to Receive TFA?</t>
  </si>
  <si>
    <t>TFA Benefit Amount</t>
  </si>
  <si>
    <t>Groceries</t>
  </si>
  <si>
    <t>Length of First Lease (months)</t>
  </si>
  <si>
    <t>TFA</t>
  </si>
  <si>
    <t>SSI</t>
  </si>
  <si>
    <t>SNAP</t>
  </si>
  <si>
    <t>LIHEAP</t>
  </si>
  <si>
    <t>INCOME</t>
  </si>
  <si>
    <t>Employment</t>
  </si>
  <si>
    <t>R+P</t>
  </si>
  <si>
    <t>Co-sponsor</t>
  </si>
  <si>
    <t>EXPENDITURES</t>
  </si>
  <si>
    <t>Rent (total)</t>
  </si>
  <si>
    <t>Medical</t>
  </si>
  <si>
    <t>Other</t>
  </si>
  <si>
    <t>Electricity (monthly bill)</t>
  </si>
  <si>
    <t>Public Transport</t>
  </si>
  <si>
    <t>Monthly - baseline of $40 based on low-end phone plan</t>
  </si>
  <si>
    <t>Monthly - baseline off my own New Haven internet plan</t>
  </si>
  <si>
    <t>Travel Loan Total</t>
  </si>
  <si>
    <t>Travel Loan Timeframe</t>
  </si>
  <si>
    <t>Location/Housing</t>
  </si>
  <si>
    <t>Baseline of 0</t>
  </si>
  <si>
    <t>Baseline</t>
  </si>
  <si>
    <t>Electricity baseline from https://www.electricitylocal.com/states/connecticut/</t>
  </si>
  <si>
    <t>Gas baseline based on a season of Nov-April given the totals from https://www.cga.ct.gov/2006/rpt/2006-r-0602.htm</t>
  </si>
  <si>
    <t>Oil baseline based on a season of Nov-April given the totals from https://www.cga.ct.gov/2006/rpt/2006-r-0602.htm</t>
  </si>
  <si>
    <t>Water generally free</t>
  </si>
  <si>
    <t>Usually have one or the other</t>
  </si>
  <si>
    <t>No</t>
  </si>
  <si>
    <t>R+P Rent contribution</t>
  </si>
  <si>
    <t>TFA Rent contribution</t>
  </si>
  <si>
    <t>Dependent Care Costs</t>
  </si>
  <si>
    <t>SOURCE: CT TFA 2015-2017 doc sent by Greg on Friday Dec 1st in 12/1 "Update and Next Steps" email.</t>
  </si>
  <si>
    <t>SOURCE: http://www.ct.gov/opapd/cwp/view.asp?a=1756&amp;q=277268</t>
  </si>
  <si>
    <t>INPUTS</t>
  </si>
  <si>
    <t>CURRENT</t>
  </si>
  <si>
    <t>UPDATED</t>
  </si>
  <si>
    <t>Select Current Month</t>
  </si>
  <si>
    <t>OUTPUTS</t>
  </si>
  <si>
    <t>Select Proposed Month</t>
  </si>
  <si>
    <t>Base Calculations</t>
  </si>
  <si>
    <t>Month-to-Month Calculations</t>
  </si>
  <si>
    <t>Public Transportation</t>
  </si>
  <si>
    <t>Car Gas</t>
  </si>
  <si>
    <t>Green Card month</t>
  </si>
  <si>
    <t>Basline of $1200 per person based on preliminary google flight search and info from greg</t>
  </si>
  <si>
    <t>Starts in month 6, goes until full amount is repaid</t>
  </si>
  <si>
    <t>Baseline of 100, but can start as low as 35 and go up to 150 or more</t>
  </si>
  <si>
    <t>Baseline of $63 per adult (based on 31-day local bus pass in CT) and 10-ride pass per child ($12.60)</t>
  </si>
  <si>
    <t>*Model assumes R+P grant goes primarily to rent, covering the full first month of rent, then half of rent for subsequent months until it runs out.</t>
  </si>
  <si>
    <t>Elderly persons (over 60)</t>
  </si>
  <si>
    <t>Income</t>
  </si>
  <si>
    <t>Household income</t>
  </si>
  <si>
    <t>One-year lease</t>
  </si>
  <si>
    <t>New Haven max for 3-bedroom</t>
  </si>
  <si>
    <t>-</t>
  </si>
  <si>
    <t>Usually donated</t>
  </si>
  <si>
    <t>Medical Expenses for ELDERLY OR DISABLED PERSONS that ARE NOT covered through insurance - baseline of 0 since most is covered</t>
  </si>
  <si>
    <t>Based off estimates of legal/medical fees of $150-200 per person</t>
  </si>
  <si>
    <t>Baseline at beginning of second year (13th month)</t>
  </si>
  <si>
    <t>*Green card expenses typically include filing fees (Current filing fee for form I-485 is $1140/adult and $750/child plus $85/family member for biometric services fee), but p. 15 of the I-485 indicates refugees do not have to pay this, so we have estimated expenses solely based off IRIS estimate of legal and medical fees.</t>
  </si>
  <si>
    <t>Type of transport</t>
  </si>
  <si>
    <t>MONTH-TO-MONTH COMPARISON</t>
  </si>
  <si>
    <t>FOR INTERNAL USE ONLY</t>
  </si>
  <si>
    <t>Baseline of 0 as assumption is family has no disposable cash to start</t>
  </si>
  <si>
    <t>Baseline of 0 as assumption is family has no savings to start</t>
  </si>
  <si>
    <t xml:space="preserve"> </t>
  </si>
  <si>
    <t>Medical Insurance</t>
  </si>
  <si>
    <t>Baseline of 0 because usually HUSKY, which is free</t>
  </si>
  <si>
    <t>Internet (School plan)</t>
  </si>
  <si>
    <t>Internet (No school)</t>
  </si>
  <si>
    <t>Monthly - based off of school-assisted value</t>
  </si>
  <si>
    <t>Number of School-age Children</t>
  </si>
  <si>
    <t>Note: seasonal/annual not coded in yet, assuming weekly income</t>
  </si>
  <si>
    <t>WEEKLY INCOME</t>
  </si>
  <si>
    <t>Monthly - Baseline based on SNAP max for family size</t>
  </si>
  <si>
    <t>NET INCOME</t>
  </si>
  <si>
    <t>CUMULATIVE SAVINGS</t>
  </si>
  <si>
    <t>DATA VALIDATION (for monthly changes drop-down in cell C3, F3)</t>
  </si>
  <si>
    <t>FOR INTERNAL USE ONLY (VLOOKUP for Budget(Base) month)</t>
  </si>
  <si>
    <t>Phone plan</t>
  </si>
  <si>
    <t xml:space="preserve">Green Card </t>
  </si>
  <si>
    <t xml:space="preserve">Dental </t>
  </si>
  <si>
    <r>
      <t>Year</t>
    </r>
    <r>
      <rPr>
        <b/>
        <sz val="10"/>
        <color rgb="FF000000"/>
        <rFont val="Arial"/>
        <family val="2"/>
      </rPr>
      <t xml:space="preserve"> 1</t>
    </r>
    <r>
      <rPr>
        <sz val="10"/>
        <color rgb="FF000000"/>
        <rFont val="Arial"/>
        <family val="2"/>
      </rPr>
      <t xml:space="preserve"> Budget</t>
    </r>
  </si>
  <si>
    <r>
      <t xml:space="preserve">Year </t>
    </r>
    <r>
      <rPr>
        <b/>
        <sz val="10"/>
        <color rgb="FF000000"/>
        <rFont val="Arial"/>
        <family val="2"/>
      </rPr>
      <t>2</t>
    </r>
    <r>
      <rPr>
        <sz val="10"/>
        <color rgb="FF000000"/>
        <rFont val="Arial"/>
        <family val="2"/>
      </rPr>
      <t xml:space="preserve"> Budget</t>
    </r>
  </si>
  <si>
    <r>
      <t xml:space="preserve">Year </t>
    </r>
    <r>
      <rPr>
        <b/>
        <sz val="10"/>
        <color theme="0"/>
        <rFont val="Arial"/>
        <family val="2"/>
      </rPr>
      <t>3</t>
    </r>
    <r>
      <rPr>
        <sz val="10"/>
        <color theme="0"/>
        <rFont val="Arial"/>
        <family val="2"/>
      </rPr>
      <t xml:space="preserve"> Budget</t>
    </r>
  </si>
  <si>
    <t>Car value</t>
  </si>
  <si>
    <r>
      <t>Year</t>
    </r>
    <r>
      <rPr>
        <b/>
        <sz val="10"/>
        <color theme="0"/>
        <rFont val="Arial"/>
        <family val="2"/>
      </rPr>
      <t xml:space="preserve"> 3 </t>
    </r>
    <r>
      <rPr>
        <sz val="10"/>
        <color theme="0"/>
        <rFont val="Arial"/>
        <family val="2"/>
      </rPr>
      <t>Budget</t>
    </r>
  </si>
  <si>
    <t>NOTE: This assumes one-year lease (otherwise co-sponsors only make up difference between actual rent and New Haven max up to end of initial lease period.</t>
  </si>
  <si>
    <t>Limitations to this approach:
1. Does not include asset limit (estimation of assets is very complicated so probably not within the scope of this model, and this is likely not a constraint for any of our families who would be eligible for SSI anyway - see source link below for more details).
2. Does not scale SSI assistance with income, but does not precisely model the relationship.  
3. Ignores what happens if there are more than 1 disabled/elderly people and doesn't differentiate between disabled children/adults (would need to do more research to be able to model this as well).</t>
  </si>
  <si>
    <t>Limitations with this approach:  
1. Does not scale assistance with income. 
2. There's an additional "asset test" for eligibility that we don't model here, but it seems like the limit is higher than that of most IRIS families. 
3. This assumes no A/C and no gas/oil during May -Oct, which may not be accurate.</t>
  </si>
  <si>
    <t>IRIS BUDGETING TOOL</t>
  </si>
  <si>
    <t>Version: 4 May 2018</t>
  </si>
  <si>
    <t>Social Impact Consulting Club Project (Yale School of Management, IRIS), Academic Year 2017-2018</t>
  </si>
  <si>
    <t>Sophie Tyack</t>
  </si>
  <si>
    <t>Jvaneel Parekh</t>
  </si>
  <si>
    <t>Talya Lockman-Fine</t>
  </si>
  <si>
    <t>Becca Constantine</t>
  </si>
  <si>
    <t>Student Authors:</t>
  </si>
  <si>
    <t>Contact Email for questions and additional details: sophie.tyack@yale.edu</t>
  </si>
  <si>
    <t>*By SSI's definition of disability: "a physical or mentail impairment that is expected to keep you from doing any substantial work (&gt;$1070 per month) for at least a year or is expected to result in death." For 2020 an individual receives $783 per month, and a couple receives $1,175 per month.  See Assistance Details tab under SSI for more info.
**Determined by case manager based on number of adults, number of children, English level and health conditions, generally between 3 and 6 months
Number of children under 6 included for "vulnerable home" distinction for CT Energy Assistance Program eligibility.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</si>
</sst>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quot;$&quot;#,##0"/>
  </numFmts>
  <fonts count="23">
    <font>
      <sz val="10"/>
      <color rgb="FF000000"/>
      <name val="Arial"/>
    </font>
    <font>
      <sz val="10"/>
      <name val="Arial"/>
      <family val="2"/>
    </font>
    <font>
      <b/>
      <sz val="10"/>
      <name val="Arial"/>
      <family val="2"/>
    </font>
    <font>
      <b/>
      <sz val="10"/>
      <color rgb="FF000000"/>
      <name val="Arial"/>
      <family val="2"/>
    </font>
    <font>
      <sz val="8"/>
      <name val="Arial"/>
      <family val="2"/>
    </font>
    <font>
      <i/>
      <sz val="10"/>
      <color rgb="FF000000"/>
      <name val="Arial"/>
      <family val="2"/>
    </font>
    <font>
      <sz val="10"/>
      <color theme="0"/>
      <name val="Arial"/>
      <family val="2"/>
    </font>
    <font>
      <sz val="10"/>
      <color rgb="FF000000"/>
      <name val="Arial"/>
      <family val="2"/>
    </font>
    <font>
      <sz val="10"/>
      <color rgb="FFFF0000"/>
      <name val="Arial"/>
      <family val="2"/>
    </font>
    <font>
      <b/>
      <i/>
      <sz val="10"/>
      <color rgb="FF000000"/>
      <name val="Arial"/>
      <family val="2"/>
    </font>
    <font>
      <sz val="10"/>
      <color rgb="FFFFFF00"/>
      <name val="Arial"/>
      <family val="2"/>
    </font>
    <font>
      <b/>
      <sz val="10"/>
      <name val="'Arial"/>
    </font>
    <font>
      <b/>
      <sz val="12"/>
      <color rgb="FFFF0000"/>
      <name val="Arial"/>
      <family val="2"/>
    </font>
    <font>
      <b/>
      <sz val="12"/>
      <color rgb="FF000000"/>
      <name val="Calibri"/>
      <family val="2"/>
    </font>
    <font>
      <sz val="10"/>
      <color rgb="FF000000"/>
      <name val="Calibri"/>
      <family val="2"/>
    </font>
    <font>
      <b/>
      <sz val="10"/>
      <color rgb="FF000000"/>
      <name val="Calibri"/>
      <family val="2"/>
    </font>
    <font>
      <b/>
      <sz val="10"/>
      <name val="Calibri"/>
      <family val="2"/>
    </font>
    <font>
      <sz val="10"/>
      <name val="Calibri"/>
      <family val="2"/>
    </font>
    <font>
      <sz val="10"/>
      <color theme="1"/>
      <name val="Arial"/>
      <family val="2"/>
    </font>
    <font>
      <sz val="18"/>
      <color rgb="FF000000"/>
      <name val="Arial"/>
      <family val="2"/>
    </font>
    <font>
      <b/>
      <sz val="10"/>
      <color theme="0"/>
      <name val="Arial"/>
      <family val="2"/>
    </font>
    <font>
      <sz val="16"/>
      <color theme="1"/>
      <name val="Calibri"/>
      <family val="2"/>
      <scheme val="minor"/>
    </font>
    <font>
      <i/>
      <sz val="12"/>
      <color theme="1"/>
      <name val="Calibri"/>
      <family val="2"/>
      <scheme val="minor"/>
    </font>
  </fonts>
  <fills count="36">
    <fill>
      <patternFill patternType="none"/>
    </fill>
    <fill>
      <patternFill patternType="gray125"/>
    </fill>
    <fill>
      <patternFill patternType="solid">
        <fgColor rgb="FF93C47D"/>
        <bgColor rgb="FF93C47D"/>
      </patternFill>
    </fill>
    <fill>
      <patternFill patternType="solid">
        <fgColor rgb="FFD9EAD3"/>
        <bgColor rgb="FFD9EAD3"/>
      </patternFill>
    </fill>
    <fill>
      <patternFill patternType="solid">
        <fgColor rgb="FFF6B26B"/>
        <bgColor rgb="FFF6B26B"/>
      </patternFill>
    </fill>
    <fill>
      <patternFill patternType="solid">
        <fgColor rgb="FFFCE5CD"/>
        <bgColor rgb="FFFCE5CD"/>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5C47"/>
        <bgColor indexed="64"/>
      </patternFill>
    </fill>
    <fill>
      <patternFill patternType="solid">
        <fgColor rgb="FFFFAEB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BF98FF"/>
        <bgColor indexed="64"/>
      </patternFill>
    </fill>
    <fill>
      <patternFill patternType="solid">
        <fgColor rgb="FFE5B8FF"/>
        <bgColor indexed="64"/>
      </patternFill>
    </fill>
    <fill>
      <patternFill patternType="solid">
        <fgColor rgb="FFFF5C47"/>
        <bgColor rgb="FFE5E5E5"/>
      </patternFill>
    </fill>
    <fill>
      <patternFill patternType="solid">
        <fgColor theme="6"/>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79998168889431442"/>
        <bgColor rgb="FFE5E5E5"/>
      </patternFill>
    </fill>
    <fill>
      <patternFill patternType="solid">
        <fgColor theme="4"/>
        <bgColor indexed="64"/>
      </patternFill>
    </fill>
    <fill>
      <patternFill patternType="solid">
        <fgColor theme="4" tint="0.59999389629810485"/>
        <bgColor indexed="64"/>
      </patternFill>
    </fill>
    <fill>
      <patternFill patternType="solid">
        <fgColor theme="7" tint="0.59999389629810485"/>
        <bgColor rgb="FFE5E5E5"/>
      </patternFill>
    </fill>
    <fill>
      <patternFill patternType="solid">
        <fgColor theme="2"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7" tint="0.79998168889431442"/>
        <bgColor rgb="FFE5E5E5"/>
      </patternFill>
    </fill>
    <fill>
      <patternFill patternType="solid">
        <fgColor theme="0"/>
        <bgColor rgb="FF93C47D"/>
      </patternFill>
    </fill>
    <fill>
      <patternFill patternType="solid">
        <fgColor theme="0"/>
        <bgColor rgb="FFF6B26B"/>
      </patternFill>
    </fill>
    <fill>
      <patternFill patternType="solid">
        <fgColor theme="7" tint="0.79998168889431442"/>
        <bgColor rgb="FF93C47D"/>
      </patternFill>
    </fill>
    <fill>
      <patternFill patternType="solid">
        <fgColor theme="7" tint="0.79998168889431442"/>
        <bgColor rgb="FFF6B26B"/>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auto="1"/>
      </left>
      <right style="thin">
        <color indexed="64"/>
      </right>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s>
  <cellStyleXfs count="3">
    <xf numFmtId="0" fontId="0" fillId="0" borderId="0"/>
    <xf numFmtId="44" fontId="7" fillId="0" borderId="0" applyFont="0" applyFill="0" applyBorder="0" applyAlignment="0" applyProtection="0"/>
    <xf numFmtId="0" fontId="7" fillId="0" borderId="0"/>
  </cellStyleXfs>
  <cellXfs count="235">
    <xf numFmtId="0" fontId="0" fillId="0" borderId="0" xfId="0" applyFont="1" applyAlignment="1"/>
    <xf numFmtId="0" fontId="1" fillId="0" borderId="0" xfId="0" applyFont="1" applyAlignment="1"/>
    <xf numFmtId="0" fontId="2" fillId="2" borderId="1" xfId="0" applyFont="1" applyFill="1" applyBorder="1" applyAlignment="1"/>
    <xf numFmtId="0" fontId="1" fillId="2" borderId="1" xfId="0" applyFont="1" applyFill="1" applyBorder="1" applyAlignment="1"/>
    <xf numFmtId="0" fontId="2" fillId="4" borderId="1" xfId="0" applyFont="1" applyFill="1" applyBorder="1" applyAlignment="1"/>
    <xf numFmtId="0" fontId="0" fillId="0" borderId="0" xfId="0" applyFont="1" applyAlignment="1"/>
    <xf numFmtId="0" fontId="3" fillId="7" borderId="3" xfId="0" applyFont="1" applyFill="1" applyBorder="1" applyAlignment="1">
      <alignment horizontal="center" vertical="center"/>
    </xf>
    <xf numFmtId="0" fontId="3" fillId="11" borderId="3" xfId="0" applyFont="1" applyFill="1" applyBorder="1" applyAlignment="1"/>
    <xf numFmtId="0" fontId="1" fillId="0" borderId="0" xfId="0" applyFont="1" applyFill="1" applyBorder="1" applyAlignment="1"/>
    <xf numFmtId="0" fontId="3" fillId="0" borderId="0" xfId="0" applyFont="1" applyBorder="1" applyAlignment="1"/>
    <xf numFmtId="0" fontId="3" fillId="0" borderId="3" xfId="0" applyFont="1" applyBorder="1" applyAlignment="1">
      <alignment horizontal="center" vertical="center"/>
    </xf>
    <xf numFmtId="0" fontId="3" fillId="9" borderId="3" xfId="0" applyFont="1" applyFill="1" applyBorder="1" applyAlignment="1"/>
    <xf numFmtId="0" fontId="0" fillId="9" borderId="3" xfId="0" applyFont="1" applyFill="1" applyBorder="1" applyAlignment="1">
      <alignment horizontal="center"/>
    </xf>
    <xf numFmtId="0" fontId="1" fillId="0" borderId="0" xfId="0" applyFont="1" applyBorder="1" applyAlignment="1"/>
    <xf numFmtId="0" fontId="7" fillId="0" borderId="0" xfId="0" applyFont="1" applyAlignment="1">
      <alignment horizontal="center" vertical="center" wrapText="1"/>
    </xf>
    <xf numFmtId="6" fontId="7" fillId="0" borderId="0" xfId="0" applyNumberFormat="1" applyFont="1" applyAlignment="1">
      <alignment horizontal="center" vertical="center" wrapText="1"/>
    </xf>
    <xf numFmtId="0" fontId="7" fillId="0" borderId="0" xfId="0" applyFont="1" applyAlignment="1"/>
    <xf numFmtId="0" fontId="2" fillId="17" borderId="3" xfId="0" applyFont="1" applyFill="1" applyBorder="1" applyAlignment="1"/>
    <xf numFmtId="0" fontId="3" fillId="20" borderId="3" xfId="0" applyFont="1" applyFill="1" applyBorder="1" applyAlignment="1"/>
    <xf numFmtId="0" fontId="0" fillId="20" borderId="3" xfId="0" applyFont="1" applyFill="1" applyBorder="1" applyAlignment="1"/>
    <xf numFmtId="0" fontId="7" fillId="0" borderId="0" xfId="0" applyFont="1" applyAlignment="1">
      <alignment wrapText="1"/>
    </xf>
    <xf numFmtId="0" fontId="3" fillId="16" borderId="3" xfId="0" applyFont="1" applyFill="1" applyBorder="1" applyAlignment="1">
      <alignment horizontal="center" vertical="center"/>
    </xf>
    <xf numFmtId="0" fontId="3" fillId="23" borderId="3" xfId="0" applyFont="1" applyFill="1" applyBorder="1" applyAlignment="1">
      <alignment horizontal="center" vertical="center"/>
    </xf>
    <xf numFmtId="0" fontId="3" fillId="25" borderId="3" xfId="0" applyFont="1" applyFill="1" applyBorder="1" applyAlignment="1"/>
    <xf numFmtId="0" fontId="7" fillId="26" borderId="0" xfId="2" applyFont="1" applyFill="1" applyAlignment="1"/>
    <xf numFmtId="0" fontId="7" fillId="0" borderId="3" xfId="2" applyFont="1" applyBorder="1" applyAlignment="1"/>
    <xf numFmtId="0" fontId="3" fillId="28" borderId="3" xfId="2" applyFont="1" applyFill="1" applyBorder="1" applyAlignment="1"/>
    <xf numFmtId="0" fontId="3" fillId="8" borderId="3" xfId="2" applyFont="1" applyFill="1" applyBorder="1" applyAlignment="1"/>
    <xf numFmtId="164" fontId="0" fillId="0" borderId="3" xfId="1" applyNumberFormat="1" applyFont="1" applyBorder="1" applyAlignment="1">
      <alignment horizontal="right" vertical="center"/>
    </xf>
    <xf numFmtId="164" fontId="8" fillId="27" borderId="3" xfId="1" applyNumberFormat="1" applyFont="1" applyFill="1" applyBorder="1" applyAlignment="1">
      <alignment horizontal="right" vertical="center"/>
    </xf>
    <xf numFmtId="0" fontId="8" fillId="27" borderId="3" xfId="0" applyFont="1" applyFill="1" applyBorder="1" applyAlignment="1"/>
    <xf numFmtId="0" fontId="0" fillId="26" borderId="0" xfId="0" applyFont="1" applyFill="1" applyAlignment="1"/>
    <xf numFmtId="0" fontId="0" fillId="26" borderId="0" xfId="0" applyFont="1" applyFill="1" applyBorder="1" applyAlignment="1"/>
    <xf numFmtId="0" fontId="7" fillId="26" borderId="0" xfId="0" applyFont="1" applyFill="1" applyAlignment="1"/>
    <xf numFmtId="0" fontId="3" fillId="8" borderId="3" xfId="0" applyFont="1" applyFill="1" applyBorder="1" applyAlignment="1"/>
    <xf numFmtId="0" fontId="7" fillId="24" borderId="3" xfId="0" applyFont="1" applyFill="1" applyBorder="1" applyAlignment="1"/>
    <xf numFmtId="0" fontId="1" fillId="3" borderId="3" xfId="0" applyFont="1" applyFill="1" applyBorder="1" applyAlignment="1">
      <alignment horizontal="center"/>
    </xf>
    <xf numFmtId="0" fontId="1" fillId="5" borderId="3" xfId="0" applyFont="1" applyFill="1" applyBorder="1" applyAlignment="1">
      <alignment horizontal="center"/>
    </xf>
    <xf numFmtId="0" fontId="0" fillId="21" borderId="3" xfId="0" applyFont="1" applyFill="1" applyBorder="1" applyAlignment="1">
      <alignment horizontal="center"/>
    </xf>
    <xf numFmtId="0" fontId="0" fillId="24" borderId="3" xfId="0" applyFont="1" applyFill="1" applyBorder="1" applyAlignment="1">
      <alignment horizontal="center"/>
    </xf>
    <xf numFmtId="0" fontId="0" fillId="14" borderId="3" xfId="0" applyFont="1" applyFill="1" applyBorder="1" applyAlignment="1">
      <alignment horizontal="center"/>
    </xf>
    <xf numFmtId="0" fontId="7" fillId="13" borderId="3" xfId="0" applyFont="1" applyFill="1" applyBorder="1" applyAlignment="1"/>
    <xf numFmtId="0" fontId="7" fillId="20" borderId="3" xfId="0" applyFont="1" applyFill="1" applyBorder="1" applyAlignment="1"/>
    <xf numFmtId="0" fontId="2" fillId="2" borderId="2" xfId="0" applyFont="1" applyFill="1" applyBorder="1" applyAlignment="1"/>
    <xf numFmtId="0" fontId="2" fillId="0" borderId="3" xfId="0" applyFont="1" applyBorder="1" applyAlignment="1">
      <alignment horizontal="center"/>
    </xf>
    <xf numFmtId="0" fontId="3" fillId="0" borderId="3" xfId="0" applyFont="1" applyBorder="1" applyAlignment="1">
      <alignment horizontal="center"/>
    </xf>
    <xf numFmtId="0" fontId="7" fillId="9" borderId="3" xfId="0" applyFont="1" applyFill="1" applyBorder="1" applyAlignment="1">
      <alignment horizontal="center"/>
    </xf>
    <xf numFmtId="0" fontId="5" fillId="21" borderId="3" xfId="0" applyFont="1" applyFill="1" applyBorder="1" applyAlignment="1">
      <alignment horizontal="center"/>
    </xf>
    <xf numFmtId="0" fontId="7" fillId="26" borderId="0" xfId="2" applyFont="1" applyFill="1" applyBorder="1" applyAlignment="1"/>
    <xf numFmtId="0" fontId="6" fillId="26" borderId="0" xfId="2" applyFont="1" applyFill="1" applyAlignment="1"/>
    <xf numFmtId="0" fontId="6" fillId="26" borderId="0" xfId="0" applyFont="1" applyFill="1" applyAlignment="1"/>
    <xf numFmtId="0" fontId="6" fillId="26" borderId="0" xfId="0" applyFont="1" applyFill="1" applyBorder="1" applyAlignment="1"/>
    <xf numFmtId="164" fontId="0" fillId="26" borderId="7" xfId="1" applyNumberFormat="1" applyFont="1" applyFill="1" applyBorder="1" applyAlignment="1">
      <alignment horizontal="right" vertical="center"/>
    </xf>
    <xf numFmtId="164" fontId="0" fillId="26" borderId="8" xfId="1" applyNumberFormat="1" applyFont="1" applyFill="1" applyBorder="1" applyAlignment="1">
      <alignment horizontal="right" vertical="center"/>
    </xf>
    <xf numFmtId="164" fontId="0" fillId="26" borderId="9" xfId="1" applyNumberFormat="1" applyFont="1" applyFill="1" applyBorder="1" applyAlignment="1">
      <alignment horizontal="right" vertical="center"/>
    </xf>
    <xf numFmtId="0" fontId="0" fillId="26" borderId="9" xfId="0" applyFont="1" applyFill="1" applyBorder="1" applyAlignment="1">
      <alignment horizontal="center"/>
    </xf>
    <xf numFmtId="0" fontId="0" fillId="26" borderId="7" xfId="0" applyFont="1" applyFill="1" applyBorder="1" applyAlignment="1">
      <alignment horizontal="center"/>
    </xf>
    <xf numFmtId="0" fontId="0" fillId="26" borderId="8" xfId="0" applyFont="1" applyFill="1" applyBorder="1" applyAlignment="1">
      <alignment horizontal="center"/>
    </xf>
    <xf numFmtId="0" fontId="3" fillId="26" borderId="0" xfId="2" applyFont="1" applyFill="1" applyBorder="1" applyAlignment="1"/>
    <xf numFmtId="0" fontId="8" fillId="26" borderId="0" xfId="0" applyFont="1" applyFill="1" applyBorder="1" applyAlignment="1"/>
    <xf numFmtId="0" fontId="0" fillId="0" borderId="3" xfId="0" applyFont="1" applyBorder="1" applyAlignment="1"/>
    <xf numFmtId="164" fontId="3" fillId="8" borderId="3" xfId="2" applyNumberFormat="1" applyFont="1" applyFill="1" applyBorder="1" applyAlignment="1"/>
    <xf numFmtId="0" fontId="0" fillId="26" borderId="0" xfId="0" applyFont="1" applyFill="1" applyBorder="1" applyAlignment="1">
      <alignment horizontal="center"/>
    </xf>
    <xf numFmtId="164" fontId="0" fillId="26" borderId="0" xfId="1" applyNumberFormat="1" applyFont="1" applyFill="1" applyBorder="1" applyAlignment="1">
      <alignment horizontal="right" vertical="center"/>
    </xf>
    <xf numFmtId="164" fontId="8" fillId="26" borderId="0" xfId="1" applyNumberFormat="1" applyFont="1" applyFill="1" applyBorder="1" applyAlignment="1">
      <alignment horizontal="right" vertical="center"/>
    </xf>
    <xf numFmtId="164" fontId="3" fillId="26" borderId="0" xfId="2" applyNumberFormat="1" applyFont="1" applyFill="1" applyBorder="1" applyAlignment="1"/>
    <xf numFmtId="0" fontId="3" fillId="29" borderId="3" xfId="2" applyFont="1" applyFill="1" applyBorder="1" applyAlignment="1"/>
    <xf numFmtId="0" fontId="0" fillId="27" borderId="3" xfId="0" applyFont="1" applyFill="1" applyBorder="1" applyAlignment="1">
      <alignment horizontal="center"/>
    </xf>
    <xf numFmtId="0" fontId="0" fillId="23" borderId="3" xfId="0" applyFont="1" applyFill="1" applyBorder="1" applyAlignment="1">
      <alignment horizontal="center"/>
    </xf>
    <xf numFmtId="0" fontId="6" fillId="30" borderId="3" xfId="0" applyFont="1" applyFill="1" applyBorder="1" applyAlignment="1">
      <alignment horizontal="center"/>
    </xf>
    <xf numFmtId="164" fontId="0" fillId="10" borderId="3" xfId="1" applyNumberFormat="1" applyFont="1" applyFill="1" applyBorder="1" applyAlignment="1">
      <alignment horizontal="right" vertical="center"/>
    </xf>
    <xf numFmtId="164" fontId="10" fillId="10" borderId="3" xfId="1" applyNumberFormat="1" applyFont="1" applyFill="1" applyBorder="1" applyAlignment="1">
      <alignment horizontal="right" vertical="center"/>
    </xf>
    <xf numFmtId="0" fontId="0" fillId="26" borderId="0" xfId="0" applyFont="1" applyFill="1" applyAlignment="1">
      <alignment horizontal="center"/>
    </xf>
    <xf numFmtId="0" fontId="3" fillId="26" borderId="0" xfId="0" applyFont="1" applyFill="1" applyAlignment="1">
      <alignment horizontal="center" vertical="center"/>
    </xf>
    <xf numFmtId="0" fontId="1" fillId="26" borderId="0" xfId="0" applyFont="1" applyFill="1" applyAlignment="1"/>
    <xf numFmtId="0" fontId="1" fillId="26" borderId="0" xfId="0" applyFont="1" applyFill="1" applyAlignment="1">
      <alignment horizontal="center"/>
    </xf>
    <xf numFmtId="0" fontId="7" fillId="10" borderId="3" xfId="0" applyFont="1" applyFill="1" applyBorder="1" applyAlignment="1"/>
    <xf numFmtId="0" fontId="7" fillId="10" borderId="3" xfId="0" applyFont="1" applyFill="1" applyBorder="1" applyAlignment="1">
      <alignment horizontal="center"/>
    </xf>
    <xf numFmtId="0" fontId="7" fillId="0" borderId="0" xfId="0" applyFont="1" applyBorder="1" applyAlignment="1"/>
    <xf numFmtId="0" fontId="11" fillId="15" borderId="6" xfId="0" applyFont="1" applyFill="1" applyBorder="1" applyAlignment="1"/>
    <xf numFmtId="0" fontId="11" fillId="15" borderId="3" xfId="0" applyFont="1" applyFill="1" applyBorder="1" applyAlignment="1"/>
    <xf numFmtId="0" fontId="11" fillId="15" borderId="3" xfId="0" applyFont="1" applyFill="1" applyBorder="1" applyAlignment="1">
      <alignment wrapText="1"/>
    </xf>
    <xf numFmtId="0" fontId="7" fillId="0" borderId="0" xfId="0" applyFont="1" applyFill="1" applyBorder="1" applyAlignment="1"/>
    <xf numFmtId="8" fontId="7" fillId="0" borderId="0" xfId="0" applyNumberFormat="1" applyFont="1" applyAlignment="1"/>
    <xf numFmtId="0" fontId="3" fillId="11" borderId="3" xfId="0" applyFont="1" applyFill="1" applyBorder="1" applyAlignment="1">
      <alignment vertical="top"/>
    </xf>
    <xf numFmtId="0" fontId="11" fillId="22" borderId="3" xfId="0" applyFont="1" applyFill="1" applyBorder="1" applyAlignment="1">
      <alignment horizontal="center" wrapText="1"/>
    </xf>
    <xf numFmtId="44" fontId="7" fillId="10" borderId="3" xfId="1" applyFont="1" applyFill="1" applyBorder="1" applyAlignment="1"/>
    <xf numFmtId="0" fontId="11" fillId="22" borderId="3" xfId="0" applyFont="1" applyFill="1" applyBorder="1" applyAlignment="1">
      <alignment horizontal="center"/>
    </xf>
    <xf numFmtId="0" fontId="7" fillId="11" borderId="3" xfId="0" applyFont="1" applyFill="1" applyBorder="1" applyAlignment="1">
      <alignment horizontal="center"/>
    </xf>
    <xf numFmtId="0" fontId="3" fillId="11" borderId="3" xfId="0" applyFont="1" applyFill="1" applyBorder="1" applyAlignment="1">
      <alignment horizontal="center" vertical="top"/>
    </xf>
    <xf numFmtId="0" fontId="1" fillId="31" borderId="3" xfId="0" applyFont="1" applyFill="1" applyBorder="1" applyAlignment="1"/>
    <xf numFmtId="0" fontId="1" fillId="31" borderId="3" xfId="0" applyFont="1" applyFill="1" applyBorder="1" applyAlignment="1">
      <alignment wrapText="1"/>
    </xf>
    <xf numFmtId="0" fontId="3" fillId="17" borderId="3" xfId="0" applyFont="1" applyFill="1" applyBorder="1" applyAlignment="1"/>
    <xf numFmtId="0" fontId="3" fillId="26" borderId="0" xfId="0" applyFont="1" applyFill="1" applyAlignment="1"/>
    <xf numFmtId="0" fontId="0" fillId="10" borderId="3" xfId="0" applyFont="1" applyFill="1" applyBorder="1" applyAlignment="1">
      <alignment horizontal="center"/>
    </xf>
    <xf numFmtId="0" fontId="1" fillId="4" borderId="2" xfId="0" applyFont="1" applyFill="1" applyBorder="1" applyAlignment="1"/>
    <xf numFmtId="0" fontId="7" fillId="21" borderId="3" xfId="0" applyFont="1" applyFill="1" applyBorder="1" applyAlignment="1">
      <alignment horizontal="center"/>
    </xf>
    <xf numFmtId="0" fontId="7" fillId="24" borderId="3" xfId="0" applyFont="1" applyFill="1" applyBorder="1" applyAlignment="1">
      <alignment horizontal="center"/>
    </xf>
    <xf numFmtId="0" fontId="4" fillId="26" borderId="0" xfId="0" applyFont="1" applyFill="1" applyBorder="1" applyAlignment="1">
      <alignment horizontal="left" wrapText="1"/>
    </xf>
    <xf numFmtId="0" fontId="7" fillId="14" borderId="3" xfId="0" applyFont="1" applyFill="1" applyBorder="1" applyAlignment="1">
      <alignment horizontal="center"/>
    </xf>
    <xf numFmtId="0" fontId="14" fillId="26" borderId="0" xfId="0" applyFont="1" applyFill="1" applyAlignment="1"/>
    <xf numFmtId="0" fontId="14" fillId="26" borderId="16" xfId="0" applyFont="1" applyFill="1" applyBorder="1" applyAlignment="1"/>
    <xf numFmtId="0" fontId="14" fillId="26" borderId="4" xfId="0" applyFont="1" applyFill="1" applyBorder="1" applyAlignment="1"/>
    <xf numFmtId="0" fontId="14" fillId="26" borderId="0" xfId="0" applyFont="1" applyFill="1" applyBorder="1" applyAlignment="1"/>
    <xf numFmtId="0" fontId="15" fillId="0" borderId="10" xfId="0" applyFont="1" applyBorder="1" applyAlignment="1">
      <alignment horizontal="center"/>
    </xf>
    <xf numFmtId="0" fontId="15" fillId="0" borderId="5" xfId="0" applyFont="1" applyBorder="1" applyAlignment="1">
      <alignment horizontal="center"/>
    </xf>
    <xf numFmtId="0" fontId="14" fillId="26" borderId="11" xfId="0" applyFont="1" applyFill="1" applyBorder="1" applyAlignment="1"/>
    <xf numFmtId="0" fontId="14" fillId="26" borderId="14" xfId="0" applyFont="1" applyFill="1" applyBorder="1" applyAlignment="1"/>
    <xf numFmtId="0" fontId="15" fillId="0" borderId="19" xfId="0" applyFont="1" applyBorder="1" applyAlignment="1"/>
    <xf numFmtId="0" fontId="15" fillId="0" borderId="9" xfId="0" applyFont="1" applyBorder="1" applyAlignment="1">
      <alignment horizontal="center"/>
    </xf>
    <xf numFmtId="0" fontId="14" fillId="26" borderId="5" xfId="0" applyFont="1" applyFill="1" applyBorder="1" applyAlignment="1"/>
    <xf numFmtId="0" fontId="15" fillId="0" borderId="3" xfId="0" applyFont="1" applyBorder="1" applyAlignment="1">
      <alignment horizontal="center"/>
    </xf>
    <xf numFmtId="0" fontId="14" fillId="0" borderId="5" xfId="0" applyFont="1" applyBorder="1" applyAlignment="1"/>
    <xf numFmtId="0" fontId="14" fillId="0" borderId="4" xfId="0" applyFont="1" applyBorder="1" applyAlignment="1">
      <alignment horizontal="center"/>
    </xf>
    <xf numFmtId="0" fontId="16" fillId="32" borderId="3" xfId="0" applyFont="1" applyFill="1" applyBorder="1" applyAlignment="1">
      <alignment horizontal="center"/>
    </xf>
    <xf numFmtId="0" fontId="14" fillId="0" borderId="3" xfId="0" applyFont="1" applyBorder="1" applyAlignment="1">
      <alignment horizontal="center"/>
    </xf>
    <xf numFmtId="0" fontId="14" fillId="26" borderId="4" xfId="0" applyFont="1" applyFill="1" applyBorder="1" applyAlignment="1">
      <alignment horizontal="center"/>
    </xf>
    <xf numFmtId="0" fontId="14" fillId="0" borderId="9" xfId="0" applyFont="1" applyBorder="1" applyAlignment="1">
      <alignment horizontal="center"/>
    </xf>
    <xf numFmtId="0" fontId="17" fillId="2" borderId="18" xfId="0" applyFont="1" applyFill="1" applyBorder="1" applyAlignment="1"/>
    <xf numFmtId="0" fontId="17" fillId="2" borderId="3" xfId="0" applyFont="1" applyFill="1" applyBorder="1" applyAlignment="1">
      <alignment horizontal="center"/>
    </xf>
    <xf numFmtId="44" fontId="14" fillId="0" borderId="3" xfId="1" applyFont="1" applyBorder="1" applyAlignment="1">
      <alignment horizontal="center"/>
    </xf>
    <xf numFmtId="44" fontId="14" fillId="0" borderId="9" xfId="1" applyFont="1" applyBorder="1" applyAlignment="1">
      <alignment horizontal="center"/>
    </xf>
    <xf numFmtId="0" fontId="14" fillId="0" borderId="4" xfId="0" applyFont="1" applyBorder="1" applyAlignment="1"/>
    <xf numFmtId="0" fontId="16" fillId="33" borderId="3" xfId="0" applyFont="1" applyFill="1" applyBorder="1" applyAlignment="1">
      <alignment horizontal="center"/>
    </xf>
    <xf numFmtId="0" fontId="17" fillId="4" borderId="3" xfId="0" applyFont="1" applyFill="1" applyBorder="1" applyAlignment="1">
      <alignment horizontal="center"/>
    </xf>
    <xf numFmtId="0" fontId="15" fillId="26" borderId="4" xfId="0" applyFont="1" applyFill="1" applyBorder="1" applyAlignment="1"/>
    <xf numFmtId="0" fontId="15" fillId="26" borderId="3" xfId="0" applyFont="1" applyFill="1" applyBorder="1" applyAlignment="1">
      <alignment horizontal="center"/>
    </xf>
    <xf numFmtId="0" fontId="14" fillId="8" borderId="3" xfId="0" applyFont="1" applyFill="1" applyBorder="1" applyAlignment="1">
      <alignment horizontal="center"/>
    </xf>
    <xf numFmtId="0" fontId="14" fillId="20" borderId="3" xfId="0" applyFont="1" applyFill="1" applyBorder="1" applyAlignment="1">
      <alignment horizontal="center"/>
    </xf>
    <xf numFmtId="0" fontId="14" fillId="26" borderId="20" xfId="0" applyFont="1" applyFill="1" applyBorder="1" applyAlignment="1">
      <alignment horizontal="center"/>
    </xf>
    <xf numFmtId="0" fontId="15" fillId="25" borderId="3" xfId="0" applyFont="1" applyFill="1" applyBorder="1" applyAlignment="1"/>
    <xf numFmtId="0" fontId="15" fillId="25" borderId="3" xfId="0" applyFont="1" applyFill="1" applyBorder="1" applyAlignment="1">
      <alignment horizontal="center"/>
    </xf>
    <xf numFmtId="0" fontId="15" fillId="26" borderId="3" xfId="0" applyFont="1" applyFill="1" applyBorder="1" applyAlignment="1"/>
    <xf numFmtId="0" fontId="15" fillId="13" borderId="3" xfId="0" applyFont="1" applyFill="1" applyBorder="1" applyAlignment="1">
      <alignment horizontal="center"/>
    </xf>
    <xf numFmtId="0" fontId="15" fillId="26" borderId="20" xfId="0" applyFont="1" applyFill="1" applyBorder="1" applyAlignment="1"/>
    <xf numFmtId="44" fontId="14" fillId="8" borderId="9" xfId="1" applyFont="1" applyFill="1" applyBorder="1" applyAlignment="1">
      <alignment horizontal="center"/>
    </xf>
    <xf numFmtId="44" fontId="14" fillId="8" borderId="9" xfId="0" applyNumberFormat="1" applyFont="1" applyFill="1" applyBorder="1" applyAlignment="1">
      <alignment horizontal="center"/>
    </xf>
    <xf numFmtId="0" fontId="18" fillId="21" borderId="3" xfId="0" applyFont="1" applyFill="1" applyBorder="1" applyAlignment="1">
      <alignment horizontal="center"/>
    </xf>
    <xf numFmtId="0" fontId="3" fillId="10" borderId="3" xfId="0" applyFont="1" applyFill="1" applyBorder="1" applyAlignment="1" applyProtection="1">
      <alignment horizontal="center" vertical="center"/>
      <protection locked="0"/>
    </xf>
    <xf numFmtId="0" fontId="3" fillId="10" borderId="5"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9" fillId="10" borderId="3" xfId="0" applyFont="1" applyFill="1" applyBorder="1" applyAlignment="1" applyProtection="1">
      <alignment horizontal="center" vertical="center"/>
      <protection locked="0"/>
    </xf>
    <xf numFmtId="164" fontId="10" fillId="10" borderId="3" xfId="1" applyNumberFormat="1" applyFont="1" applyFill="1" applyBorder="1" applyAlignment="1" applyProtection="1">
      <alignment horizontal="right" vertical="center"/>
      <protection locked="0"/>
    </xf>
    <xf numFmtId="164" fontId="0" fillId="26" borderId="0" xfId="1" applyNumberFormat="1" applyFont="1" applyFill="1" applyBorder="1" applyAlignment="1" applyProtection="1">
      <alignment horizontal="right" vertical="center"/>
      <protection locked="0"/>
    </xf>
    <xf numFmtId="164" fontId="0" fillId="10" borderId="3" xfId="1" applyNumberFormat="1" applyFont="1" applyFill="1" applyBorder="1" applyAlignment="1" applyProtection="1">
      <alignment horizontal="right" vertical="center"/>
      <protection locked="0"/>
    </xf>
    <xf numFmtId="164" fontId="8" fillId="26" borderId="0" xfId="1" applyNumberFormat="1" applyFont="1" applyFill="1" applyBorder="1" applyAlignment="1" applyProtection="1">
      <alignment horizontal="right" vertical="center"/>
      <protection locked="0"/>
    </xf>
    <xf numFmtId="164" fontId="8" fillId="10" borderId="3" xfId="1" applyNumberFormat="1" applyFont="1" applyFill="1" applyBorder="1" applyAlignment="1" applyProtection="1">
      <alignment horizontal="right" vertical="center"/>
      <protection locked="0"/>
    </xf>
    <xf numFmtId="164" fontId="10" fillId="26" borderId="7" xfId="1" applyNumberFormat="1" applyFont="1" applyFill="1" applyBorder="1" applyAlignment="1" applyProtection="1">
      <alignment horizontal="right" vertical="center"/>
      <protection locked="0"/>
    </xf>
    <xf numFmtId="164" fontId="10" fillId="26" borderId="8" xfId="1" applyNumberFormat="1" applyFont="1" applyFill="1" applyBorder="1" applyAlignment="1" applyProtection="1">
      <alignment horizontal="right" vertical="center"/>
      <protection locked="0"/>
    </xf>
    <xf numFmtId="164" fontId="10" fillId="26" borderId="9" xfId="1" applyNumberFormat="1" applyFont="1" applyFill="1" applyBorder="1" applyAlignment="1" applyProtection="1">
      <alignment horizontal="right" vertical="center"/>
      <protection locked="0"/>
    </xf>
    <xf numFmtId="164" fontId="0" fillId="26" borderId="7" xfId="1" applyNumberFormat="1" applyFont="1" applyFill="1" applyBorder="1" applyAlignment="1" applyProtection="1">
      <alignment horizontal="right" vertical="center"/>
      <protection locked="0"/>
    </xf>
    <xf numFmtId="164" fontId="0" fillId="26" borderId="8" xfId="1" applyNumberFormat="1" applyFont="1" applyFill="1" applyBorder="1" applyAlignment="1" applyProtection="1">
      <alignment horizontal="right" vertical="center"/>
      <protection locked="0"/>
    </xf>
    <xf numFmtId="164" fontId="0" fillId="26" borderId="9" xfId="1" applyNumberFormat="1" applyFont="1" applyFill="1" applyBorder="1" applyAlignment="1" applyProtection="1">
      <alignment horizontal="right" vertical="center"/>
      <protection locked="0"/>
    </xf>
    <xf numFmtId="0" fontId="10" fillId="10" borderId="3" xfId="0" applyFont="1" applyFill="1" applyBorder="1" applyAlignment="1" applyProtection="1">
      <protection locked="0"/>
    </xf>
    <xf numFmtId="0" fontId="0" fillId="26" borderId="0" xfId="0" applyFont="1" applyFill="1" applyBorder="1" applyAlignment="1" applyProtection="1">
      <protection locked="0"/>
    </xf>
    <xf numFmtId="0" fontId="0" fillId="10" borderId="3" xfId="0" applyFont="1" applyFill="1" applyBorder="1" applyAlignment="1" applyProtection="1">
      <protection locked="0"/>
    </xf>
    <xf numFmtId="0" fontId="10" fillId="10" borderId="3" xfId="2" applyFont="1" applyFill="1" applyBorder="1" applyAlignment="1" applyProtection="1">
      <protection locked="0"/>
    </xf>
    <xf numFmtId="0" fontId="15" fillId="10" borderId="3" xfId="0" applyFont="1" applyFill="1" applyBorder="1" applyAlignment="1" applyProtection="1">
      <alignment horizontal="center"/>
      <protection locked="0"/>
    </xf>
    <xf numFmtId="0" fontId="17" fillId="34" borderId="3" xfId="0" applyFont="1" applyFill="1" applyBorder="1" applyAlignment="1" applyProtection="1">
      <alignment horizontal="center"/>
      <protection locked="0"/>
    </xf>
    <xf numFmtId="0" fontId="14" fillId="0" borderId="3" xfId="0" applyFont="1" applyBorder="1" applyAlignment="1" applyProtection="1">
      <alignment horizontal="center"/>
      <protection locked="0"/>
    </xf>
    <xf numFmtId="0" fontId="16" fillId="32" borderId="3" xfId="0" applyFont="1" applyFill="1" applyBorder="1" applyAlignment="1" applyProtection="1">
      <alignment horizontal="center"/>
      <protection locked="0"/>
    </xf>
    <xf numFmtId="0" fontId="16" fillId="33" borderId="3" xfId="0" applyFont="1" applyFill="1" applyBorder="1" applyAlignment="1" applyProtection="1">
      <alignment horizontal="center"/>
      <protection locked="0"/>
    </xf>
    <xf numFmtId="0" fontId="17" fillId="35" borderId="3" xfId="0" applyFont="1" applyFill="1" applyBorder="1" applyAlignment="1" applyProtection="1">
      <alignment horizontal="center"/>
      <protection locked="0"/>
    </xf>
    <xf numFmtId="0" fontId="15" fillId="26" borderId="3" xfId="0" applyFont="1" applyFill="1" applyBorder="1" applyAlignment="1" applyProtection="1">
      <alignment horizontal="center"/>
      <protection locked="0"/>
    </xf>
    <xf numFmtId="0" fontId="14" fillId="10" borderId="3" xfId="0" applyFont="1" applyFill="1" applyBorder="1" applyAlignment="1" applyProtection="1">
      <alignment horizontal="center"/>
      <protection locked="0"/>
    </xf>
    <xf numFmtId="0" fontId="14" fillId="23" borderId="3" xfId="0" applyFont="1" applyFill="1" applyBorder="1" applyAlignment="1" applyProtection="1">
      <alignment horizontal="center"/>
    </xf>
    <xf numFmtId="0" fontId="14" fillId="20" borderId="3" xfId="0" applyFont="1" applyFill="1" applyBorder="1" applyAlignment="1" applyProtection="1">
      <alignment horizontal="center"/>
      <protection locked="0"/>
    </xf>
    <xf numFmtId="0" fontId="0" fillId="10" borderId="3" xfId="0" applyFont="1" applyFill="1" applyBorder="1" applyAlignment="1" applyProtection="1">
      <alignment horizontal="center"/>
      <protection locked="0"/>
    </xf>
    <xf numFmtId="0" fontId="18" fillId="24" borderId="3" xfId="0" applyFont="1" applyFill="1" applyBorder="1" applyAlignment="1">
      <alignment horizontal="center"/>
    </xf>
    <xf numFmtId="0" fontId="7" fillId="8" borderId="3" xfId="0" applyFont="1" applyFill="1" applyBorder="1" applyAlignment="1"/>
    <xf numFmtId="0" fontId="7" fillId="25" borderId="3" xfId="0" applyFont="1" applyFill="1" applyBorder="1" applyAlignment="1"/>
    <xf numFmtId="0" fontId="7" fillId="26" borderId="3" xfId="0" applyFont="1" applyFill="1" applyBorder="1" applyAlignment="1"/>
    <xf numFmtId="0" fontId="7" fillId="26" borderId="3" xfId="2" applyFont="1" applyFill="1" applyBorder="1" applyAlignment="1"/>
    <xf numFmtId="0" fontId="11" fillId="19" borderId="3" xfId="0" applyFont="1" applyFill="1" applyBorder="1" applyAlignment="1">
      <alignment vertical="top"/>
    </xf>
    <xf numFmtId="0" fontId="11" fillId="19" borderId="3" xfId="0" applyFont="1" applyFill="1" applyBorder="1" applyAlignment="1">
      <alignment vertical="top" wrapText="1"/>
    </xf>
    <xf numFmtId="0" fontId="11" fillId="19" borderId="4" xfId="0" applyFont="1" applyFill="1" applyBorder="1" applyAlignment="1">
      <alignment vertical="top" wrapText="1"/>
    </xf>
    <xf numFmtId="0" fontId="2" fillId="17" borderId="3" xfId="0" applyFont="1" applyFill="1" applyBorder="1" applyAlignment="1">
      <alignment vertical="top"/>
    </xf>
    <xf numFmtId="0" fontId="5" fillId="26" borderId="0" xfId="0" applyFont="1" applyFill="1" applyAlignment="1"/>
    <xf numFmtId="0" fontId="4" fillId="12" borderId="3" xfId="0" applyFont="1" applyFill="1" applyBorder="1" applyAlignment="1">
      <alignment horizontal="left" wrapText="1"/>
    </xf>
    <xf numFmtId="0" fontId="4" fillId="12" borderId="15" xfId="0" applyFont="1" applyFill="1" applyBorder="1" applyAlignment="1">
      <alignment horizontal="left" vertical="top" wrapText="1"/>
    </xf>
    <xf numFmtId="0" fontId="4" fillId="12" borderId="16" xfId="0" applyFont="1" applyFill="1" applyBorder="1" applyAlignment="1">
      <alignment horizontal="left" vertical="top" wrapText="1"/>
    </xf>
    <xf numFmtId="0" fontId="4" fillId="12" borderId="17" xfId="0" applyFont="1" applyFill="1" applyBorder="1" applyAlignment="1">
      <alignment horizontal="left" vertical="top" wrapText="1"/>
    </xf>
    <xf numFmtId="0" fontId="4" fillId="12" borderId="15" xfId="0" applyFont="1" applyFill="1" applyBorder="1" applyAlignment="1">
      <alignment horizontal="left" wrapText="1"/>
    </xf>
    <xf numFmtId="0" fontId="4" fillId="12" borderId="16" xfId="0" applyFont="1" applyFill="1" applyBorder="1" applyAlignment="1">
      <alignment horizontal="left" wrapText="1"/>
    </xf>
    <xf numFmtId="0" fontId="4" fillId="12" borderId="17" xfId="0" applyFont="1" applyFill="1" applyBorder="1" applyAlignment="1">
      <alignment horizontal="left" wrapText="1"/>
    </xf>
    <xf numFmtId="0" fontId="21" fillId="27" borderId="21" xfId="0" applyFont="1" applyFill="1" applyBorder="1" applyAlignment="1">
      <alignment horizontal="center"/>
    </xf>
    <xf numFmtId="0" fontId="21" fillId="27" borderId="22" xfId="0" applyFont="1" applyFill="1" applyBorder="1" applyAlignment="1">
      <alignment horizontal="center"/>
    </xf>
    <xf numFmtId="0" fontId="22" fillId="27" borderId="23" xfId="0" applyFont="1" applyFill="1" applyBorder="1" applyAlignment="1">
      <alignment horizontal="center"/>
    </xf>
    <xf numFmtId="0" fontId="22" fillId="27" borderId="24" xfId="0" applyFont="1" applyFill="1" applyBorder="1" applyAlignment="1">
      <alignment horizontal="center"/>
    </xf>
    <xf numFmtId="0" fontId="7" fillId="27" borderId="3" xfId="0" applyFont="1" applyFill="1" applyBorder="1" applyAlignment="1">
      <alignment horizontal="center"/>
    </xf>
    <xf numFmtId="0" fontId="0" fillId="27" borderId="3" xfId="0" applyFont="1" applyFill="1" applyBorder="1" applyAlignment="1">
      <alignment horizontal="center"/>
    </xf>
    <xf numFmtId="0" fontId="7" fillId="23" borderId="3" xfId="0" applyFont="1" applyFill="1" applyBorder="1" applyAlignment="1">
      <alignment horizontal="center"/>
    </xf>
    <xf numFmtId="0" fontId="0" fillId="23" borderId="3" xfId="0" applyFont="1" applyFill="1" applyBorder="1" applyAlignment="1">
      <alignment horizontal="center"/>
    </xf>
    <xf numFmtId="0" fontId="6" fillId="30" borderId="3" xfId="0" applyFont="1" applyFill="1" applyBorder="1" applyAlignment="1">
      <alignment horizontal="center"/>
    </xf>
    <xf numFmtId="0" fontId="15" fillId="16" borderId="7" xfId="0" applyFont="1" applyFill="1" applyBorder="1" applyAlignment="1">
      <alignment horizontal="center"/>
    </xf>
    <xf numFmtId="0" fontId="15" fillId="16" borderId="8" xfId="0" applyFont="1" applyFill="1" applyBorder="1" applyAlignment="1">
      <alignment horizontal="center"/>
    </xf>
    <xf numFmtId="0" fontId="15" fillId="16" borderId="9" xfId="0" applyFont="1" applyFill="1" applyBorder="1" applyAlignment="1">
      <alignment horizontal="center"/>
    </xf>
    <xf numFmtId="0" fontId="13" fillId="16" borderId="0" xfId="0" applyFont="1" applyFill="1" applyBorder="1" applyAlignment="1">
      <alignment horizontal="center"/>
    </xf>
    <xf numFmtId="0" fontId="15" fillId="0" borderId="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9" xfId="0" applyFont="1" applyBorder="1" applyAlignment="1">
      <alignment horizontal="center" vertical="center" wrapText="1"/>
    </xf>
    <xf numFmtId="0" fontId="12" fillId="0" borderId="0" xfId="0" applyFont="1" applyAlignment="1">
      <alignment horizontal="left" vertical="top"/>
    </xf>
    <xf numFmtId="0" fontId="3" fillId="11" borderId="3" xfId="0" applyFont="1" applyFill="1" applyBorder="1" applyAlignment="1">
      <alignment horizontal="center"/>
    </xf>
    <xf numFmtId="0" fontId="7" fillId="9" borderId="3" xfId="0" applyFont="1" applyFill="1" applyBorder="1" applyAlignment="1">
      <alignment horizontal="left"/>
    </xf>
    <xf numFmtId="0" fontId="7" fillId="9" borderId="3" xfId="0" applyFont="1" applyFill="1" applyBorder="1" applyAlignment="1">
      <alignment horizontal="left" wrapText="1"/>
    </xf>
    <xf numFmtId="0" fontId="9" fillId="8" borderId="7" xfId="0" applyFont="1" applyFill="1" applyBorder="1" applyAlignment="1">
      <alignment horizontal="left"/>
    </xf>
    <xf numFmtId="0" fontId="9" fillId="8" borderId="8" xfId="0" applyFont="1" applyFill="1" applyBorder="1" applyAlignment="1">
      <alignment horizontal="left"/>
    </xf>
    <xf numFmtId="0" fontId="9" fillId="8" borderId="9" xfId="0" applyFont="1" applyFill="1" applyBorder="1" applyAlignment="1">
      <alignment horizontal="left"/>
    </xf>
    <xf numFmtId="0" fontId="7" fillId="12" borderId="3" xfId="0" applyFont="1" applyFill="1" applyBorder="1" applyAlignment="1">
      <alignment horizontal="left" wrapText="1"/>
    </xf>
    <xf numFmtId="0" fontId="7" fillId="12" borderId="3" xfId="0" applyFont="1" applyFill="1" applyBorder="1" applyAlignment="1">
      <alignment horizontal="left"/>
    </xf>
    <xf numFmtId="0" fontId="2" fillId="8" borderId="3" xfId="0" applyFont="1" applyFill="1" applyBorder="1" applyAlignment="1">
      <alignment horizontal="center"/>
    </xf>
    <xf numFmtId="0" fontId="7" fillId="9" borderId="10" xfId="0" applyFont="1" applyFill="1" applyBorder="1" applyAlignment="1">
      <alignment horizontal="left" wrapText="1"/>
    </xf>
    <xf numFmtId="0" fontId="7" fillId="9" borderId="11" xfId="0" applyFont="1" applyFill="1" applyBorder="1" applyAlignment="1">
      <alignment horizontal="left" wrapText="1"/>
    </xf>
    <xf numFmtId="0" fontId="7" fillId="9" borderId="12" xfId="0" applyFont="1" applyFill="1" applyBorder="1" applyAlignment="1">
      <alignment horizontal="left" wrapText="1"/>
    </xf>
    <xf numFmtId="0" fontId="7" fillId="6" borderId="3" xfId="0" applyFont="1" applyFill="1" applyBorder="1" applyAlignment="1">
      <alignment horizontal="left" wrapText="1"/>
    </xf>
    <xf numFmtId="0" fontId="2" fillId="17" borderId="13" xfId="0" applyFont="1" applyFill="1" applyBorder="1" applyAlignment="1">
      <alignment horizontal="center"/>
    </xf>
    <xf numFmtId="0" fontId="2" fillId="17" borderId="0" xfId="0" applyFont="1" applyFill="1" applyBorder="1" applyAlignment="1">
      <alignment horizontal="center"/>
    </xf>
    <xf numFmtId="0" fontId="2" fillId="17" borderId="14" xfId="0" applyFont="1" applyFill="1" applyBorder="1" applyAlignment="1">
      <alignment horizontal="center"/>
    </xf>
    <xf numFmtId="0" fontId="12" fillId="0" borderId="0" xfId="0" applyFont="1" applyAlignment="1">
      <alignment horizontal="center"/>
    </xf>
    <xf numFmtId="0" fontId="2" fillId="11" borderId="7" xfId="0" applyFont="1" applyFill="1" applyBorder="1" applyAlignment="1"/>
    <xf numFmtId="0" fontId="2" fillId="11" borderId="9" xfId="0" applyFont="1" applyFill="1" applyBorder="1" applyAlignment="1"/>
    <xf numFmtId="0" fontId="2" fillId="11" borderId="7" xfId="0" applyFont="1" applyFill="1" applyBorder="1" applyAlignment="1">
      <alignment horizontal="center"/>
    </xf>
    <xf numFmtId="0" fontId="2" fillId="11" borderId="9" xfId="0" applyFont="1" applyFill="1" applyBorder="1" applyAlignment="1">
      <alignment horizontal="center"/>
    </xf>
    <xf numFmtId="0" fontId="9" fillId="17" borderId="7" xfId="0" applyFont="1" applyFill="1" applyBorder="1" applyAlignment="1">
      <alignment horizontal="left"/>
    </xf>
    <xf numFmtId="0" fontId="9" fillId="17" borderId="8" xfId="0" applyFont="1" applyFill="1" applyBorder="1" applyAlignment="1">
      <alignment horizontal="left"/>
    </xf>
    <xf numFmtId="0" fontId="9" fillId="17" borderId="9" xfId="0" applyFont="1" applyFill="1" applyBorder="1" applyAlignment="1">
      <alignment horizontal="left"/>
    </xf>
    <xf numFmtId="0" fontId="7" fillId="18" borderId="10" xfId="0" applyFont="1" applyFill="1" applyBorder="1" applyAlignment="1">
      <alignment horizontal="left" vertical="top" wrapText="1"/>
    </xf>
    <xf numFmtId="0" fontId="7" fillId="18" borderId="11" xfId="0" applyFont="1" applyFill="1" applyBorder="1" applyAlignment="1">
      <alignment horizontal="left" vertical="top" wrapText="1"/>
    </xf>
    <xf numFmtId="0" fontId="7" fillId="18" borderId="12" xfId="0" applyFont="1" applyFill="1" applyBorder="1" applyAlignment="1">
      <alignment horizontal="left" vertical="top" wrapText="1"/>
    </xf>
    <xf numFmtId="0" fontId="7" fillId="8" borderId="3" xfId="0" applyFont="1" applyFill="1" applyBorder="1" applyAlignment="1">
      <alignment horizontal="center"/>
    </xf>
    <xf numFmtId="0" fontId="7" fillId="28" borderId="3" xfId="0" applyFont="1" applyFill="1" applyBorder="1" applyAlignment="1">
      <alignment horizontal="left" wrapText="1"/>
    </xf>
    <xf numFmtId="0" fontId="3" fillId="17" borderId="3" xfId="0" applyFont="1" applyFill="1" applyBorder="1" applyAlignment="1">
      <alignment horizontal="center"/>
    </xf>
    <xf numFmtId="0" fontId="3" fillId="11" borderId="7" xfId="0" applyFont="1" applyFill="1" applyBorder="1" applyAlignment="1">
      <alignment horizontal="center"/>
    </xf>
    <xf numFmtId="0" fontId="3" fillId="11" borderId="8" xfId="0" applyFont="1" applyFill="1" applyBorder="1" applyAlignment="1">
      <alignment horizontal="center"/>
    </xf>
    <xf numFmtId="0" fontId="3" fillId="11" borderId="9" xfId="0" applyFont="1" applyFill="1" applyBorder="1" applyAlignment="1">
      <alignment horizontal="center"/>
    </xf>
  </cellXfs>
  <cellStyles count="3">
    <cellStyle name="Currency" xfId="1" builtinId="4"/>
    <cellStyle name="Normal" xfId="0" builtinId="0"/>
    <cellStyle name="Normal 2" xfId="2"/>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7"/>
  <colors>
    <mruColors>
      <color rgb="FFFF5C47"/>
      <color rgb="FFBF98FF"/>
      <color rgb="FFE5B8FF"/>
      <color rgb="FFB071FF"/>
      <color rgb="FFFFA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Income</a:t>
            </a:r>
            <a:r>
              <a:rPr lang="en-US" b="1" baseline="0"/>
              <a:t> by Month</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'Budget (Base)'!$B$7</c:f>
              <c:strCache>
                <c:ptCount val="1"/>
                <c:pt idx="0">
                  <c:v>Employment</c:v>
                </c:pt>
              </c:strCache>
            </c:strRef>
          </c:tx>
          <c:spPr>
            <a:solidFill>
              <a:schemeClr val="accent2"/>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(Base)'!$D$7:$O$7</c:f>
              <c:numCache>
                <c:formatCode>"$"#,##0</c:formatCode>
                <c:ptCount val="12"/>
                <c:pt idx="0">
                  <c:v>2150</c:v>
                </c:pt>
                <c:pt idx="1">
                  <c:v>2150</c:v>
                </c:pt>
                <c:pt idx="2">
                  <c:v>2150</c:v>
                </c:pt>
                <c:pt idx="3">
                  <c:v>2150</c:v>
                </c:pt>
                <c:pt idx="4">
                  <c:v>2150</c:v>
                </c:pt>
                <c:pt idx="5">
                  <c:v>2150</c:v>
                </c:pt>
                <c:pt idx="6">
                  <c:v>2150</c:v>
                </c:pt>
                <c:pt idx="7">
                  <c:v>2150</c:v>
                </c:pt>
                <c:pt idx="8">
                  <c:v>2150</c:v>
                </c:pt>
                <c:pt idx="9">
                  <c:v>2150</c:v>
                </c:pt>
                <c:pt idx="10">
                  <c:v>2150</c:v>
                </c:pt>
                <c:pt idx="11">
                  <c:v>2150</c:v>
                </c:pt>
              </c:numCache>
            </c:numRef>
          </c:val>
          <c:extLst>
            <c:ext xmlns:c16="http://schemas.microsoft.com/office/drawing/2014/chart" uri="{C3380CC4-5D6E-409C-BE32-E72D297353CC}">
              <c16:uniqueId val="{00000000-B470-46A8-AD34-BC088075C3ED}"/>
            </c:ext>
          </c:extLst>
        </c:ser>
        <c:ser>
          <c:idx val="2"/>
          <c:order val="1"/>
          <c:tx>
            <c:strRef>
              <c:f>'Budget (Base)'!$B$8</c:f>
              <c:strCache>
                <c:ptCount val="1"/>
                <c:pt idx="0">
                  <c:v>TFA</c:v>
                </c:pt>
              </c:strCache>
            </c:strRef>
          </c:tx>
          <c:spPr>
            <a:solidFill>
              <a:schemeClr val="accent3"/>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(Base)'!$D$8:$O$8</c:f>
              <c:numCache>
                <c:formatCode>"$"#,##0</c:formatCode>
                <c:ptCount val="12"/>
                <c:pt idx="0">
                  <c:v>803</c:v>
                </c:pt>
                <c:pt idx="1">
                  <c:v>803</c:v>
                </c:pt>
                <c:pt idx="2">
                  <c:v>803</c:v>
                </c:pt>
                <c:pt idx="3">
                  <c:v>803</c:v>
                </c:pt>
                <c:pt idx="4">
                  <c:v>803</c:v>
                </c:pt>
                <c:pt idx="5">
                  <c:v>803</c:v>
                </c:pt>
                <c:pt idx="6">
                  <c:v>803</c:v>
                </c:pt>
                <c:pt idx="7">
                  <c:v>803</c:v>
                </c:pt>
                <c:pt idx="8">
                  <c:v>803</c:v>
                </c:pt>
                <c:pt idx="9">
                  <c:v>803</c:v>
                </c:pt>
                <c:pt idx="10">
                  <c:v>803</c:v>
                </c:pt>
                <c:pt idx="11">
                  <c:v>803</c:v>
                </c:pt>
              </c:numCache>
            </c:numRef>
          </c:val>
          <c:extLst>
            <c:ext xmlns:c16="http://schemas.microsoft.com/office/drawing/2014/chart" uri="{C3380CC4-5D6E-409C-BE32-E72D297353CC}">
              <c16:uniqueId val="{00000001-B470-46A8-AD34-BC088075C3ED}"/>
            </c:ext>
          </c:extLst>
        </c:ser>
        <c:ser>
          <c:idx val="3"/>
          <c:order val="2"/>
          <c:tx>
            <c:strRef>
              <c:f>'Budget (Base)'!$B$9</c:f>
              <c:strCache>
                <c:ptCount val="1"/>
                <c:pt idx="0">
                  <c:v>SSI</c:v>
                </c:pt>
              </c:strCache>
            </c:strRef>
          </c:tx>
          <c:spPr>
            <a:solidFill>
              <a:schemeClr val="accent4"/>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(Base)'!$D$9:$O$9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470-46A8-AD34-BC088075C3ED}"/>
            </c:ext>
          </c:extLst>
        </c:ser>
        <c:ser>
          <c:idx val="4"/>
          <c:order val="3"/>
          <c:tx>
            <c:strRef>
              <c:f>'Budget (Base)'!$B$10</c:f>
              <c:strCache>
                <c:ptCount val="1"/>
                <c:pt idx="0">
                  <c:v>R+P</c:v>
                </c:pt>
              </c:strCache>
            </c:strRef>
          </c:tx>
          <c:spPr>
            <a:solidFill>
              <a:schemeClr val="accent5"/>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(Base)'!$D$10:$O$10</c:f>
              <c:numCache>
                <c:formatCode>"$"#,##0</c:formatCode>
                <c:ptCount val="12"/>
                <c:pt idx="0">
                  <c:v>5125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470-46A8-AD34-BC088075C3ED}"/>
            </c:ext>
          </c:extLst>
        </c:ser>
        <c:ser>
          <c:idx val="5"/>
          <c:order val="4"/>
          <c:tx>
            <c:strRef>
              <c:f>'Budget (Base)'!$B$11</c:f>
              <c:strCache>
                <c:ptCount val="1"/>
                <c:pt idx="0">
                  <c:v>LIHEAP</c:v>
                </c:pt>
              </c:strCache>
            </c:strRef>
          </c:tx>
          <c:spPr>
            <a:solidFill>
              <a:schemeClr val="accent6"/>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(Base)'!$D$11:$O$11</c:f>
              <c:numCache>
                <c:formatCode>"$"#,##0</c:formatCode>
                <c:ptCount val="12"/>
                <c:pt idx="0">
                  <c:v>110</c:v>
                </c:pt>
                <c:pt idx="1">
                  <c:v>110</c:v>
                </c:pt>
                <c:pt idx="2">
                  <c:v>110</c:v>
                </c:pt>
                <c:pt idx="3">
                  <c:v>110</c:v>
                </c:pt>
                <c:pt idx="4">
                  <c:v>0</c:v>
                </c:pt>
                <c:pt idx="5">
                  <c:v>0</c:v>
                </c:pt>
                <c:pt idx="6">
                  <c:v>0</c:v>
                </c:pt>
                <c:pt idx="7">
                  <c:v>0</c:v>
                </c:pt>
                <c:pt idx="8">
                  <c:v>0</c:v>
                </c:pt>
                <c:pt idx="9">
                  <c:v>0</c:v>
                </c:pt>
                <c:pt idx="10">
                  <c:v>110</c:v>
                </c:pt>
                <c:pt idx="11">
                  <c:v>110</c:v>
                </c:pt>
              </c:numCache>
            </c:numRef>
          </c:val>
          <c:extLst>
            <c:ext xmlns:c16="http://schemas.microsoft.com/office/drawing/2014/chart" uri="{C3380CC4-5D6E-409C-BE32-E72D297353CC}">
              <c16:uniqueId val="{00000004-B470-46A8-AD34-BC088075C3ED}"/>
            </c:ext>
          </c:extLst>
        </c:ser>
        <c:ser>
          <c:idx val="6"/>
          <c:order val="5"/>
          <c:tx>
            <c:strRef>
              <c:f>'Budget (Base)'!$B$12</c:f>
              <c:strCache>
                <c:ptCount val="1"/>
                <c:pt idx="0">
                  <c:v>SNAP</c:v>
                </c:pt>
              </c:strCache>
            </c:strRef>
          </c:tx>
          <c:spPr>
            <a:solidFill>
              <a:schemeClr val="accent1">
                <a:lumMod val="60000"/>
              </a:schemeClr>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(Base)'!$D$12:$O$12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B470-46A8-AD34-BC088075C3ED}"/>
            </c:ext>
          </c:extLst>
        </c:ser>
        <c:ser>
          <c:idx val="7"/>
          <c:order val="6"/>
          <c:tx>
            <c:strRef>
              <c:f>'Budget (Base)'!$B$15</c:f>
              <c:strCache>
                <c:ptCount val="1"/>
                <c:pt idx="0">
                  <c:v>Co-sponsor</c:v>
                </c:pt>
              </c:strCache>
            </c:strRef>
          </c:tx>
          <c:spPr>
            <a:solidFill>
              <a:schemeClr val="accent2">
                <a:lumMod val="60000"/>
              </a:schemeClr>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(Base)'!$D$15:$O$15</c:f>
              <c:numCache>
                <c:formatCode>"$"#,##0</c:formatCode>
                <c:ptCount val="12"/>
                <c:pt idx="0">
                  <c:v>0</c:v>
                </c:pt>
                <c:pt idx="1">
                  <c:v>498.5</c:v>
                </c:pt>
                <c:pt idx="2">
                  <c:v>1398.5</c:v>
                </c:pt>
                <c:pt idx="3">
                  <c:v>500</c:v>
                </c:pt>
                <c:pt idx="4">
                  <c:v>500</c:v>
                </c:pt>
                <c:pt idx="5">
                  <c:v>500</c:v>
                </c:pt>
                <c:pt idx="6">
                  <c:v>500</c:v>
                </c:pt>
                <c:pt idx="7">
                  <c:v>500</c:v>
                </c:pt>
                <c:pt idx="8">
                  <c:v>500</c:v>
                </c:pt>
                <c:pt idx="9">
                  <c:v>500</c:v>
                </c:pt>
                <c:pt idx="10">
                  <c:v>500</c:v>
                </c:pt>
                <c:pt idx="11">
                  <c:v>500</c:v>
                </c:pt>
              </c:numCache>
            </c:numRef>
          </c:val>
          <c:extLst>
            <c:ext xmlns:c16="http://schemas.microsoft.com/office/drawing/2014/chart" uri="{C3380CC4-5D6E-409C-BE32-E72D297353CC}">
              <c16:uniqueId val="{00000006-B470-46A8-AD34-BC088075C3ED}"/>
            </c:ext>
          </c:extLst>
        </c:ser>
        <c:dLbls>
          <c:showLegendKey val="0"/>
          <c:showVal val="0"/>
          <c:showCatName val="0"/>
          <c:showSerName val="0"/>
          <c:showPercent val="0"/>
          <c:showBubbleSize val="0"/>
        </c:dLbls>
        <c:gapWidth val="150"/>
        <c:overlap val="100"/>
        <c:axId val="191269120"/>
        <c:axId val="191283584"/>
      </c:barChart>
      <c:catAx>
        <c:axId val="19126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283584"/>
        <c:crosses val="autoZero"/>
        <c:auto val="1"/>
        <c:lblAlgn val="ctr"/>
        <c:lblOffset val="100"/>
        <c:noMultiLvlLbl val="0"/>
      </c:catAx>
      <c:valAx>
        <c:axId val="1912835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269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Net Income by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'Budget (Base)'!$B$40</c:f>
              <c:strCache>
                <c:ptCount val="1"/>
                <c:pt idx="0">
                  <c:v>NET INCOME</c:v>
                </c:pt>
              </c:strCache>
            </c:strRef>
          </c:tx>
          <c:spPr>
            <a:ln w="28575" cap="rnd">
              <a:solidFill>
                <a:schemeClr val="tx1"/>
              </a:solidFill>
              <a:round/>
            </a:ln>
            <a:effectLst/>
          </c:spPr>
          <c:marker>
            <c:symbol val="none"/>
          </c:marker>
          <c:dLbls>
            <c:spPr>
              <a:noFill/>
              <a:ln>
                <a:noFill/>
              </a:ln>
              <a:effectLst/>
            </c:spPr>
            <c:txPr>
              <a:bodyPr rot="0" spcFirstLastPara="1" vertOverflow="clip" horzOverflow="clip" vert="horz" wrap="square" lIns="38100" tIns="45720" rIns="38100" bIns="19050" anchor="t"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cap="flat" cmpd="sng" algn="ctr">
                      <a:solidFill>
                        <a:schemeClr val="tx1">
                          <a:lumMod val="35000"/>
                          <a:lumOff val="65000"/>
                        </a:schemeClr>
                      </a:solidFill>
                      <a:round/>
                    </a:ln>
                    <a:effectLst/>
                  </c:spPr>
                </c15:leaderLines>
              </c:ext>
            </c:extLst>
          </c:dLbls>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(Base)'!$D$40:$O$40</c:f>
              <c:numCache>
                <c:formatCode>"$"#,##0</c:formatCode>
                <c:ptCount val="12"/>
                <c:pt idx="0">
                  <c:v>5704.2</c:v>
                </c:pt>
                <c:pt idx="1">
                  <c:v>1077.6999999999998</c:v>
                </c:pt>
                <c:pt idx="2">
                  <c:v>1977.6999999999998</c:v>
                </c:pt>
                <c:pt idx="3">
                  <c:v>1079.1999999999998</c:v>
                </c:pt>
                <c:pt idx="4">
                  <c:v>1302.1999999999998</c:v>
                </c:pt>
                <c:pt idx="5">
                  <c:v>1302.1999999999998</c:v>
                </c:pt>
                <c:pt idx="6">
                  <c:v>1202.1999999999998</c:v>
                </c:pt>
                <c:pt idx="7">
                  <c:v>1202.1999999999998</c:v>
                </c:pt>
                <c:pt idx="8">
                  <c:v>1202.1999999999998</c:v>
                </c:pt>
                <c:pt idx="9">
                  <c:v>1202.1999999999998</c:v>
                </c:pt>
                <c:pt idx="10">
                  <c:v>979.19999999999982</c:v>
                </c:pt>
                <c:pt idx="11">
                  <c:v>979.19999999999982</c:v>
                </c:pt>
              </c:numCache>
            </c:numRef>
          </c:val>
          <c:smooth val="0"/>
          <c:extLst>
            <c:ext xmlns:c16="http://schemas.microsoft.com/office/drawing/2014/chart" uri="{C3380CC4-5D6E-409C-BE32-E72D297353CC}">
              <c16:uniqueId val="{00000000-9545-45DC-BD73-7C0A7288C1F0}"/>
            </c:ext>
          </c:extLst>
        </c:ser>
        <c:dLbls>
          <c:showLegendKey val="0"/>
          <c:showVal val="0"/>
          <c:showCatName val="0"/>
          <c:showSerName val="0"/>
          <c:showPercent val="0"/>
          <c:showBubbleSize val="0"/>
        </c:dLbls>
        <c:smooth val="0"/>
        <c:axId val="164037376"/>
        <c:axId val="164038912"/>
      </c:lineChart>
      <c:catAx>
        <c:axId val="16403737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38912"/>
        <c:crosses val="autoZero"/>
        <c:auto val="1"/>
        <c:lblAlgn val="ctr"/>
        <c:lblOffset val="100"/>
        <c:noMultiLvlLbl val="0"/>
      </c:catAx>
      <c:valAx>
        <c:axId val="16403891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3737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Cumulative</a:t>
            </a:r>
            <a:r>
              <a:rPr lang="en-US" b="1" baseline="0"/>
              <a:t> Savings by Month</a:t>
            </a:r>
          </a:p>
        </c:rich>
      </c:tx>
      <c:layout>
        <c:manualLayout>
          <c:xMode val="edge"/>
          <c:yMode val="edge"/>
          <c:x val="0.31377777777777777"/>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'Budget (Base)'!$B$42</c:f>
              <c:strCache>
                <c:ptCount val="1"/>
                <c:pt idx="0">
                  <c:v>CUMULATIVE SAVINGS</c:v>
                </c:pt>
              </c:strCache>
            </c:strRef>
          </c:tx>
          <c:spPr>
            <a:solidFill>
              <a:schemeClr val="accent1"/>
            </a:solidFill>
            <a:ln>
              <a:noFill/>
            </a:ln>
            <a:effectLst/>
          </c:spPr>
          <c:invertIfNegative val="0"/>
          <c:cat>
            <c:strRef>
              <c:f>'Budget (Base)'!$D$5:$O$5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'Budget (Base)'!$D$42:$O$42</c:f>
              <c:numCache>
                <c:formatCode>"$"#,##0</c:formatCode>
                <c:ptCount val="12"/>
                <c:pt idx="0">
                  <c:v>5704.2</c:v>
                </c:pt>
                <c:pt idx="1">
                  <c:v>6781.9</c:v>
                </c:pt>
                <c:pt idx="2">
                  <c:v>8759.5999999999985</c:v>
                </c:pt>
                <c:pt idx="3">
                  <c:v>9838.7999999999993</c:v>
                </c:pt>
                <c:pt idx="4">
                  <c:v>11141</c:v>
                </c:pt>
                <c:pt idx="5">
                  <c:v>12443.2</c:v>
                </c:pt>
                <c:pt idx="6">
                  <c:v>13645.400000000001</c:v>
                </c:pt>
                <c:pt idx="7">
                  <c:v>14847.600000000002</c:v>
                </c:pt>
                <c:pt idx="8">
                  <c:v>16049.800000000003</c:v>
                </c:pt>
                <c:pt idx="9">
                  <c:v>17252.000000000004</c:v>
                </c:pt>
                <c:pt idx="10">
                  <c:v>18231.200000000004</c:v>
                </c:pt>
                <c:pt idx="11">
                  <c:v>19210.400000000005</c:v>
                </c:pt>
              </c:numCache>
            </c:numRef>
          </c:val>
          <c:extLst>
            <c:ext xmlns:c16="http://schemas.microsoft.com/office/drawing/2014/chart" uri="{C3380CC4-5D6E-409C-BE32-E72D297353CC}">
              <c16:uniqueId val="{00000000-D6EB-924A-83F4-824D6EADD7DF}"/>
            </c:ext>
          </c:extLst>
        </c:ser>
        <c:dLbls>
          <c:showLegendKey val="0"/>
          <c:showVal val="0"/>
          <c:showCatName val="0"/>
          <c:showSerName val="0"/>
          <c:showPercent val="0"/>
          <c:showBubbleSize val="0"/>
        </c:dLbls>
        <c:gapWidth val="182"/>
        <c:axId val="164051584"/>
        <c:axId val="164053376"/>
      </c:barChart>
      <c:catAx>
        <c:axId val="16405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53376"/>
        <c:crosses val="autoZero"/>
        <c:auto val="1"/>
        <c:lblAlgn val="ctr"/>
        <c:lblOffset val="100"/>
        <c:noMultiLvlLbl val="0"/>
      </c:catAx>
      <c:valAx>
        <c:axId val="16405337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5158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69273</xdr:colOff>
      <xdr:row>44</xdr:row>
      <xdr:rowOff>11546</xdr:rowOff>
    </xdr:from>
    <xdr:to>
      <xdr:col>8</xdr:col>
      <xdr:colOff>526337</xdr:colOff>
      <xdr:row>60</xdr:row>
      <xdr:rowOff>122670</xdr:rowOff>
    </xdr:to>
    <xdr:graphicFrame macro="">
      <xdr:nvGraphicFramePr>
        <xdr:cNvPr id="2" name="Chart 1">
          <a:extLst>
            <a:ext uri="{FF2B5EF4-FFF2-40B4-BE49-F238E27FC236}">
              <a16:creationId xmlns:a16="http://schemas.microsoft.com/office/drawing/2014/main" id="{399E6BE3-0486-4580-AAF2-0084A7D84F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42</xdr:row>
      <xdr:rowOff>9526</xdr:rowOff>
    </xdr:from>
    <xdr:to>
      <xdr:col>18</xdr:col>
      <xdr:colOff>455706</xdr:colOff>
      <xdr:row>72</xdr:row>
      <xdr:rowOff>40810</xdr:rowOff>
    </xdr:to>
    <xdr:graphicFrame macro="">
      <xdr:nvGraphicFramePr>
        <xdr:cNvPr id="3" name="Chart 2">
          <a:extLst>
            <a:ext uri="{FF2B5EF4-FFF2-40B4-BE49-F238E27FC236}">
              <a16:creationId xmlns:a16="http://schemas.microsoft.com/office/drawing/2014/main" id="{635730A5-ECE7-438D-814D-B764A80586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34643</xdr:colOff>
      <xdr:row>43</xdr:row>
      <xdr:rowOff>83127</xdr:rowOff>
    </xdr:from>
    <xdr:to>
      <xdr:col>24</xdr:col>
      <xdr:colOff>565734</xdr:colOff>
      <xdr:row>60</xdr:row>
      <xdr:rowOff>78509</xdr:rowOff>
    </xdr:to>
    <xdr:graphicFrame macro="">
      <xdr:nvGraphicFramePr>
        <xdr:cNvPr id="5" name="Chart 4">
          <a:extLst>
            <a:ext uri="{FF2B5EF4-FFF2-40B4-BE49-F238E27FC236}">
              <a16:creationId xmlns:a16="http://schemas.microsoft.com/office/drawing/2014/main" id="{32DB1A0F-0A74-B34F-8FA8-7167328FD5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78"/>
  <sheetViews>
    <sheetView tabSelected="1" workbookViewId="0">
      <selection activeCell="E10" sqref="E10"/>
    </sheetView>
  </sheetViews>
  <sheetFormatPr defaultColWidth="14.28515625" defaultRowHeight="15.75" customHeight="1"/>
  <cols>
    <col min="1" max="1" width="2.7109375" style="31" customWidth="1"/>
    <col min="2" max="2" width="24.28515625" style="31" customWidth="1"/>
    <col min="3" max="3" width="114" style="31" bestFit="1" customWidth="1"/>
    <col min="4" max="4" width="14.140625" style="72" customWidth="1"/>
    <col min="5" max="5" width="19.85546875" style="73" bestFit="1" customWidth="1"/>
    <col min="6" max="7" width="14.28515625" style="31"/>
    <col min="8" max="8" width="17.7109375" style="31" customWidth="1"/>
    <col min="9" max="16384" width="14.28515625" style="31"/>
  </cols>
  <sheetData>
    <row r="1" spans="2:5" ht="18" customHeight="1">
      <c r="B1" s="185" t="s">
        <v>393</v>
      </c>
      <c r="C1" s="186"/>
    </row>
    <row r="2" spans="2:5" ht="17.100000000000001" customHeight="1">
      <c r="B2" s="187" t="s">
        <v>394</v>
      </c>
      <c r="C2" s="188"/>
    </row>
    <row r="3" spans="2:5" ht="15.75" customHeight="1">
      <c r="B3" s="33"/>
    </row>
    <row r="4" spans="2:5" ht="21.95" customHeight="1">
      <c r="B4" s="185" t="s">
        <v>395</v>
      </c>
      <c r="C4" s="186"/>
    </row>
    <row r="5" spans="2:5" ht="15.75" customHeight="1">
      <c r="B5" s="177" t="s">
        <v>400</v>
      </c>
      <c r="C5" s="177" t="s">
        <v>401</v>
      </c>
    </row>
    <row r="6" spans="2:5" ht="15.75" customHeight="1">
      <c r="B6" s="177" t="s">
        <v>396</v>
      </c>
      <c r="C6" s="33"/>
    </row>
    <row r="7" spans="2:5" ht="15.75" customHeight="1">
      <c r="B7" s="177" t="s">
        <v>397</v>
      </c>
    </row>
    <row r="8" spans="2:5" ht="15.75" customHeight="1">
      <c r="B8" s="177" t="s">
        <v>398</v>
      </c>
    </row>
    <row r="9" spans="2:5" ht="15.75" customHeight="1">
      <c r="B9" s="177" t="s">
        <v>399</v>
      </c>
    </row>
    <row r="10" spans="2:5" ht="15.75" customHeight="1">
      <c r="B10" s="33"/>
    </row>
    <row r="11" spans="2:5" ht="15.75" customHeight="1">
      <c r="B11" s="43" t="s">
        <v>0</v>
      </c>
      <c r="C11" s="44" t="s">
        <v>324</v>
      </c>
      <c r="D11" s="10" t="s">
        <v>3</v>
      </c>
    </row>
    <row r="12" spans="2:5" ht="15.75" customHeight="1">
      <c r="B12" s="3" t="s">
        <v>2</v>
      </c>
      <c r="C12" s="36">
        <v>2</v>
      </c>
      <c r="D12" s="138">
        <v>2</v>
      </c>
      <c r="E12" s="31"/>
    </row>
    <row r="13" spans="2:5" ht="15.75" customHeight="1">
      <c r="B13" s="3" t="s">
        <v>374</v>
      </c>
      <c r="C13" s="36">
        <v>2</v>
      </c>
      <c r="D13" s="138">
        <v>3</v>
      </c>
      <c r="E13" s="31"/>
    </row>
    <row r="14" spans="2:5" ht="15.75" customHeight="1">
      <c r="B14" s="3" t="s">
        <v>240</v>
      </c>
      <c r="C14" s="36">
        <v>3</v>
      </c>
      <c r="D14" s="138">
        <v>3</v>
      </c>
      <c r="E14" s="31"/>
    </row>
    <row r="15" spans="2:5" ht="15.75" customHeight="1">
      <c r="B15" s="3" t="s">
        <v>5</v>
      </c>
      <c r="C15" s="36" t="s">
        <v>231</v>
      </c>
      <c r="D15" s="138">
        <v>0</v>
      </c>
    </row>
    <row r="16" spans="2:5" ht="15.75" customHeight="1">
      <c r="B16" s="3" t="s">
        <v>6</v>
      </c>
      <c r="C16" s="36" t="s">
        <v>231</v>
      </c>
      <c r="D16" s="138">
        <v>0</v>
      </c>
    </row>
    <row r="17" spans="2:5" ht="15.75" customHeight="1">
      <c r="B17" s="3" t="s">
        <v>214</v>
      </c>
      <c r="C17" s="36" t="s">
        <v>231</v>
      </c>
      <c r="D17" s="139">
        <f>SUM(D12,D14)</f>
        <v>5</v>
      </c>
    </row>
    <row r="18" spans="2:5" ht="15.75" customHeight="1">
      <c r="B18" s="3" t="s">
        <v>221</v>
      </c>
      <c r="C18" s="36" t="s">
        <v>231</v>
      </c>
      <c r="D18" s="6">
        <f>1025*D17</f>
        <v>5125</v>
      </c>
    </row>
    <row r="19" spans="2:5" ht="15.95" customHeight="1">
      <c r="B19" s="179" t="s">
        <v>351</v>
      </c>
      <c r="C19" s="180"/>
      <c r="D19" s="181"/>
      <c r="E19" s="31"/>
    </row>
    <row r="21" spans="2:5" ht="15.75" customHeight="1">
      <c r="B21" s="2" t="s">
        <v>7</v>
      </c>
      <c r="C21" s="44" t="s">
        <v>324</v>
      </c>
      <c r="D21" s="10" t="s">
        <v>3</v>
      </c>
    </row>
    <row r="22" spans="2:5" ht="15.75" customHeight="1">
      <c r="B22" s="3" t="s">
        <v>216</v>
      </c>
      <c r="C22" s="36">
        <v>0</v>
      </c>
      <c r="D22" s="140">
        <v>1</v>
      </c>
      <c r="E22" s="31"/>
    </row>
    <row r="23" spans="2:5" ht="15.75" customHeight="1">
      <c r="B23" s="3" t="s">
        <v>352</v>
      </c>
      <c r="C23" s="36">
        <v>0</v>
      </c>
      <c r="D23" s="138">
        <v>0</v>
      </c>
    </row>
    <row r="24" spans="2:5" ht="15.75" customHeight="1">
      <c r="B24" s="3" t="s">
        <v>239</v>
      </c>
      <c r="C24" s="36" t="s">
        <v>231</v>
      </c>
      <c r="D24" s="138">
        <v>0</v>
      </c>
    </row>
    <row r="25" spans="2:5" ht="15.75" customHeight="1">
      <c r="B25" s="3" t="s">
        <v>229</v>
      </c>
      <c r="C25" s="36">
        <v>3</v>
      </c>
      <c r="D25" s="138">
        <v>3</v>
      </c>
    </row>
    <row r="26" spans="2:5" ht="48" customHeight="1">
      <c r="B26" s="179" t="s">
        <v>402</v>
      </c>
      <c r="C26" s="180"/>
      <c r="D26" s="181"/>
      <c r="E26" s="31"/>
    </row>
    <row r="27" spans="2:5" ht="15.75" customHeight="1">
      <c r="B27" s="74"/>
      <c r="C27" s="74"/>
      <c r="D27" s="75"/>
    </row>
    <row r="28" spans="2:5" ht="15.75" customHeight="1">
      <c r="B28" s="4" t="s">
        <v>353</v>
      </c>
      <c r="C28" s="44" t="s">
        <v>324</v>
      </c>
      <c r="D28" s="10" t="s">
        <v>3</v>
      </c>
    </row>
    <row r="29" spans="2:5" ht="15.75" customHeight="1">
      <c r="B29" s="95" t="s">
        <v>354</v>
      </c>
      <c r="C29" s="37" t="s">
        <v>376</v>
      </c>
      <c r="D29" s="138">
        <v>500</v>
      </c>
      <c r="E29" s="33"/>
    </row>
    <row r="30" spans="2:5" ht="15.75" customHeight="1">
      <c r="B30" s="182" t="s">
        <v>375</v>
      </c>
      <c r="C30" s="183"/>
      <c r="D30" s="184"/>
      <c r="E30" s="31"/>
    </row>
    <row r="32" spans="2:5" ht="15.75" customHeight="1">
      <c r="B32" s="34" t="s">
        <v>322</v>
      </c>
      <c r="C32" s="45" t="s">
        <v>4</v>
      </c>
      <c r="D32" s="44" t="s">
        <v>324</v>
      </c>
      <c r="E32" s="10" t="s">
        <v>3</v>
      </c>
    </row>
    <row r="33" spans="2:5" ht="15.75" customHeight="1">
      <c r="B33" s="169" t="s">
        <v>60</v>
      </c>
      <c r="C33" s="46" t="s">
        <v>357</v>
      </c>
      <c r="D33" s="12" t="s">
        <v>231</v>
      </c>
      <c r="E33" s="138" t="s">
        <v>67</v>
      </c>
    </row>
    <row r="34" spans="2:5" ht="15.75" customHeight="1">
      <c r="B34" s="169" t="s">
        <v>61</v>
      </c>
      <c r="C34" s="46" t="s">
        <v>357</v>
      </c>
      <c r="D34" s="12" t="s">
        <v>231</v>
      </c>
      <c r="E34" s="6" t="str">
        <f>VLOOKUP(E33,'Calculations (INTERNAL)'!B4:C172,2, FALSE)</f>
        <v>B</v>
      </c>
    </row>
    <row r="35" spans="2:5" ht="15.75" customHeight="1">
      <c r="B35" s="169" t="s">
        <v>303</v>
      </c>
      <c r="C35" s="46" t="s">
        <v>355</v>
      </c>
      <c r="D35" s="12">
        <v>12</v>
      </c>
      <c r="E35" s="138">
        <v>12</v>
      </c>
    </row>
    <row r="36" spans="2:5" ht="15.75" customHeight="1">
      <c r="B36" s="169" t="s">
        <v>9</v>
      </c>
      <c r="C36" s="46" t="s">
        <v>356</v>
      </c>
      <c r="D36" s="12">
        <v>1300</v>
      </c>
      <c r="E36" s="138">
        <v>1800</v>
      </c>
    </row>
    <row r="37" spans="2:5" ht="15.75" customHeight="1">
      <c r="B37" s="169" t="s">
        <v>225</v>
      </c>
      <c r="C37" s="46" t="s">
        <v>357</v>
      </c>
      <c r="D37" s="12">
        <v>3</v>
      </c>
      <c r="E37" s="138">
        <v>3</v>
      </c>
    </row>
    <row r="38" spans="2:5" ht="15.75" customHeight="1">
      <c r="B38" s="169" t="s">
        <v>12</v>
      </c>
      <c r="C38" s="46" t="s">
        <v>328</v>
      </c>
      <c r="D38" s="12">
        <v>0</v>
      </c>
      <c r="E38" s="138">
        <v>0</v>
      </c>
    </row>
    <row r="39" spans="2:5" ht="15.75" customHeight="1">
      <c r="B39" s="169" t="s">
        <v>316</v>
      </c>
      <c r="C39" s="12" t="s">
        <v>325</v>
      </c>
      <c r="D39" s="12">
        <v>127</v>
      </c>
      <c r="E39" s="138">
        <v>127</v>
      </c>
    </row>
    <row r="40" spans="2:5" ht="15.75" customHeight="1">
      <c r="B40" s="169" t="s">
        <v>232</v>
      </c>
      <c r="C40" s="46" t="s">
        <v>329</v>
      </c>
      <c r="D40" s="46" t="s">
        <v>11</v>
      </c>
      <c r="E40" s="138" t="s">
        <v>11</v>
      </c>
    </row>
    <row r="41" spans="2:5" ht="15.75" customHeight="1">
      <c r="B41" s="169" t="s">
        <v>11</v>
      </c>
      <c r="C41" s="46" t="s">
        <v>326</v>
      </c>
      <c r="D41" s="12">
        <f>2000/6</f>
        <v>333.33333333333331</v>
      </c>
      <c r="E41" s="138">
        <v>333</v>
      </c>
    </row>
    <row r="42" spans="2:5" ht="15.75" customHeight="1">
      <c r="B42" s="169" t="s">
        <v>13</v>
      </c>
      <c r="C42" s="46" t="s">
        <v>327</v>
      </c>
      <c r="D42" s="12">
        <f>1690/6</f>
        <v>281.66666666666669</v>
      </c>
      <c r="E42" s="138">
        <v>281.66667000000001</v>
      </c>
    </row>
    <row r="43" spans="2:5" ht="15.75" customHeight="1">
      <c r="B43" s="169" t="s">
        <v>269</v>
      </c>
      <c r="C43" s="12"/>
      <c r="D43" s="12"/>
      <c r="E43" s="21">
        <f>E36+E38+E39+IF(E40="Gas",E41,E42)</f>
        <v>2260</v>
      </c>
    </row>
    <row r="45" spans="2:5" ht="15.75" customHeight="1">
      <c r="B45" s="18" t="s">
        <v>255</v>
      </c>
      <c r="C45" s="45" t="s">
        <v>4</v>
      </c>
      <c r="D45" s="44" t="s">
        <v>324</v>
      </c>
      <c r="E45" s="10" t="s">
        <v>3</v>
      </c>
    </row>
    <row r="46" spans="2:5" ht="15.75" customHeight="1">
      <c r="B46" s="42" t="s">
        <v>1</v>
      </c>
      <c r="C46" s="47" t="s">
        <v>357</v>
      </c>
      <c r="D46" s="96" t="s">
        <v>330</v>
      </c>
      <c r="E46" s="138" t="s">
        <v>330</v>
      </c>
    </row>
    <row r="47" spans="2:5" ht="15.75" customHeight="1">
      <c r="B47" s="42" t="s">
        <v>388</v>
      </c>
      <c r="C47" s="96" t="s">
        <v>357</v>
      </c>
      <c r="D47" s="38">
        <v>0</v>
      </c>
      <c r="E47" s="138">
        <v>0</v>
      </c>
    </row>
    <row r="48" spans="2:5" ht="15.75" customHeight="1">
      <c r="B48" s="19" t="s">
        <v>256</v>
      </c>
      <c r="C48" s="137" t="s">
        <v>366</v>
      </c>
      <c r="D48" s="38">
        <v>0</v>
      </c>
      <c r="E48" s="138">
        <v>0</v>
      </c>
    </row>
    <row r="49" spans="2:6" ht="15.75" customHeight="1">
      <c r="B49" s="42" t="s">
        <v>257</v>
      </c>
      <c r="C49" s="137" t="s">
        <v>367</v>
      </c>
      <c r="D49" s="38">
        <v>0</v>
      </c>
      <c r="E49" s="138">
        <v>0</v>
      </c>
    </row>
    <row r="50" spans="2:6" ht="15.75" customHeight="1">
      <c r="B50" s="42" t="s">
        <v>258</v>
      </c>
      <c r="C50" s="96" t="s">
        <v>357</v>
      </c>
      <c r="D50" s="38">
        <v>0</v>
      </c>
      <c r="E50" s="138">
        <v>0</v>
      </c>
    </row>
    <row r="51" spans="2:6" ht="15.75" customHeight="1">
      <c r="B51" s="42" t="s">
        <v>259</v>
      </c>
      <c r="C51" s="96" t="s">
        <v>357</v>
      </c>
      <c r="D51" s="38">
        <v>0</v>
      </c>
      <c r="E51" s="138">
        <v>0</v>
      </c>
    </row>
    <row r="52" spans="2:6" ht="15.75" customHeight="1">
      <c r="B52" s="42" t="s">
        <v>253</v>
      </c>
      <c r="C52" s="96" t="s">
        <v>357</v>
      </c>
      <c r="D52" s="38"/>
      <c r="E52" s="22">
        <f>SUM(E48:E51)</f>
        <v>0</v>
      </c>
    </row>
    <row r="54" spans="2:6" ht="15.75" customHeight="1">
      <c r="B54" s="23" t="s">
        <v>315</v>
      </c>
      <c r="C54" s="45" t="s">
        <v>4</v>
      </c>
      <c r="D54" s="44" t="s">
        <v>324</v>
      </c>
      <c r="E54" s="10" t="s">
        <v>3</v>
      </c>
    </row>
    <row r="55" spans="2:6" ht="15.75" customHeight="1">
      <c r="B55" s="170" t="s">
        <v>302</v>
      </c>
      <c r="C55" s="97" t="s">
        <v>377</v>
      </c>
      <c r="D55" s="39" t="str">
        <f>VLOOKUP(D17,'Calculations (INTERNAL)'!J49:N56,5,FALSE)</f>
        <v>$   760</v>
      </c>
      <c r="E55" s="138" t="str">
        <f>D55</f>
        <v>$   760</v>
      </c>
      <c r="F55" s="33"/>
    </row>
    <row r="56" spans="2:6" ht="15.75" customHeight="1">
      <c r="B56" s="170" t="s">
        <v>382</v>
      </c>
      <c r="C56" s="97" t="s">
        <v>318</v>
      </c>
      <c r="D56" s="39">
        <v>40</v>
      </c>
      <c r="E56" s="138">
        <v>40</v>
      </c>
    </row>
    <row r="57" spans="2:6" ht="15.75" customHeight="1">
      <c r="B57" s="170" t="s">
        <v>371</v>
      </c>
      <c r="C57" s="97" t="s">
        <v>373</v>
      </c>
      <c r="D57" s="39">
        <v>20</v>
      </c>
      <c r="E57" s="138">
        <v>20</v>
      </c>
    </row>
    <row r="58" spans="2:6" ht="15.75" customHeight="1">
      <c r="B58" s="170" t="s">
        <v>372</v>
      </c>
      <c r="C58" s="97" t="s">
        <v>319</v>
      </c>
      <c r="D58" s="39">
        <v>50</v>
      </c>
      <c r="E58" s="138">
        <v>50</v>
      </c>
      <c r="F58" s="33"/>
    </row>
    <row r="59" spans="2:6" ht="15.75" customHeight="1">
      <c r="B59" s="170" t="s">
        <v>14</v>
      </c>
      <c r="C59" s="97" t="s">
        <v>358</v>
      </c>
      <c r="D59" s="39">
        <v>0</v>
      </c>
      <c r="E59" s="138">
        <v>0</v>
      </c>
    </row>
    <row r="60" spans="2:6" ht="15.75" customHeight="1">
      <c r="B60" s="170" t="s">
        <v>16</v>
      </c>
      <c r="C60" s="97" t="s">
        <v>358</v>
      </c>
      <c r="D60" s="39">
        <v>0</v>
      </c>
      <c r="E60" s="138">
        <v>0</v>
      </c>
    </row>
    <row r="61" spans="2:6" ht="15.75" customHeight="1">
      <c r="B61" s="170" t="s">
        <v>18</v>
      </c>
      <c r="C61" s="97" t="s">
        <v>358</v>
      </c>
      <c r="D61" s="39">
        <v>0</v>
      </c>
      <c r="E61" s="138">
        <v>0</v>
      </c>
    </row>
    <row r="62" spans="2:6" ht="15.75" customHeight="1">
      <c r="B62" s="170" t="s">
        <v>17</v>
      </c>
      <c r="C62" s="97" t="s">
        <v>358</v>
      </c>
      <c r="D62" s="39">
        <v>0</v>
      </c>
      <c r="E62" s="138">
        <v>0</v>
      </c>
    </row>
    <row r="63" spans="2:6" ht="15.75" customHeight="1">
      <c r="B63" s="170" t="s">
        <v>19</v>
      </c>
      <c r="C63" s="97" t="s">
        <v>358</v>
      </c>
      <c r="D63" s="39">
        <v>0</v>
      </c>
      <c r="E63" s="138">
        <v>0</v>
      </c>
    </row>
    <row r="64" spans="2:6" ht="15.75" customHeight="1">
      <c r="B64" s="170" t="s">
        <v>369</v>
      </c>
      <c r="C64" s="97" t="s">
        <v>370</v>
      </c>
      <c r="D64" s="39">
        <v>0</v>
      </c>
      <c r="E64" s="138">
        <v>0</v>
      </c>
    </row>
    <row r="65" spans="1:7" ht="15.75" customHeight="1">
      <c r="B65" s="170" t="s">
        <v>314</v>
      </c>
      <c r="C65" s="97" t="s">
        <v>359</v>
      </c>
      <c r="D65" s="39">
        <v>0</v>
      </c>
      <c r="E65" s="138">
        <v>0</v>
      </c>
      <c r="F65" s="33"/>
    </row>
    <row r="66" spans="1:7" ht="15.75" customHeight="1">
      <c r="B66" s="170" t="s">
        <v>383</v>
      </c>
      <c r="C66" s="97" t="s">
        <v>360</v>
      </c>
      <c r="D66" s="168">
        <v>875</v>
      </c>
      <c r="E66" s="138">
        <v>875</v>
      </c>
    </row>
    <row r="67" spans="1:7" ht="15.75" customHeight="1">
      <c r="B67" s="170" t="s">
        <v>346</v>
      </c>
      <c r="C67" s="97" t="s">
        <v>361</v>
      </c>
      <c r="D67" s="39">
        <v>13</v>
      </c>
      <c r="E67" s="138">
        <v>13</v>
      </c>
    </row>
    <row r="68" spans="1:7" ht="15.75" customHeight="1">
      <c r="B68" s="170" t="s">
        <v>384</v>
      </c>
      <c r="C68" s="97" t="s">
        <v>358</v>
      </c>
      <c r="D68" s="39">
        <v>0</v>
      </c>
      <c r="E68" s="138">
        <v>0</v>
      </c>
    </row>
    <row r="69" spans="1:7" ht="15.75" customHeight="1">
      <c r="B69" s="170" t="s">
        <v>333</v>
      </c>
      <c r="C69" s="97" t="s">
        <v>357</v>
      </c>
      <c r="D69" s="39">
        <v>0</v>
      </c>
      <c r="E69" s="138">
        <v>0</v>
      </c>
    </row>
    <row r="70" spans="1:7" ht="15.75" customHeight="1">
      <c r="B70" s="170" t="s">
        <v>320</v>
      </c>
      <c r="C70" s="35" t="s">
        <v>347</v>
      </c>
      <c r="D70" s="39">
        <f>1200*D17</f>
        <v>6000</v>
      </c>
      <c r="E70" s="138">
        <v>6000</v>
      </c>
    </row>
    <row r="71" spans="1:7" ht="15.75" customHeight="1">
      <c r="B71" s="170" t="s">
        <v>321</v>
      </c>
      <c r="C71" s="35" t="s">
        <v>348</v>
      </c>
      <c r="D71" s="39">
        <f>D70/D72</f>
        <v>60</v>
      </c>
      <c r="E71" s="138">
        <v>60</v>
      </c>
      <c r="G71" s="48"/>
    </row>
    <row r="72" spans="1:7" ht="15.75" customHeight="1">
      <c r="B72" s="170" t="s">
        <v>20</v>
      </c>
      <c r="C72" s="35" t="s">
        <v>349</v>
      </c>
      <c r="D72" s="39">
        <v>100</v>
      </c>
      <c r="E72" s="138">
        <v>100</v>
      </c>
    </row>
    <row r="73" spans="1:7" ht="21.95" customHeight="1">
      <c r="B73" s="178" t="s">
        <v>362</v>
      </c>
      <c r="C73" s="178"/>
      <c r="D73" s="178"/>
      <c r="E73" s="178"/>
    </row>
    <row r="74" spans="1:7" ht="15.75" customHeight="1">
      <c r="A74" s="32"/>
      <c r="B74" s="98"/>
      <c r="C74" s="98"/>
      <c r="D74" s="98"/>
      <c r="E74" s="98"/>
    </row>
    <row r="75" spans="1:7" ht="15.75" customHeight="1">
      <c r="B75" s="41" t="s">
        <v>363</v>
      </c>
      <c r="C75" s="99" t="s">
        <v>357</v>
      </c>
      <c r="D75" s="99"/>
      <c r="E75" s="141" t="s">
        <v>344</v>
      </c>
    </row>
    <row r="76" spans="1:7" ht="15.75" customHeight="1">
      <c r="B76" s="41" t="s">
        <v>317</v>
      </c>
      <c r="C76" s="99" t="s">
        <v>350</v>
      </c>
      <c r="D76" s="40">
        <f>D12*63+12.6*D14</f>
        <v>163.80000000000001</v>
      </c>
      <c r="E76" s="138">
        <v>163.80000000000001</v>
      </c>
    </row>
    <row r="77" spans="1:7" ht="15.75" customHeight="1">
      <c r="B77" s="41" t="s">
        <v>345</v>
      </c>
      <c r="C77" s="99" t="s">
        <v>323</v>
      </c>
      <c r="D77" s="40">
        <v>0</v>
      </c>
      <c r="E77" s="138">
        <v>0</v>
      </c>
    </row>
    <row r="78" spans="1:7" ht="15.75" customHeight="1">
      <c r="B78" s="41" t="s">
        <v>219</v>
      </c>
      <c r="C78" s="99" t="s">
        <v>323</v>
      </c>
      <c r="D78" s="40">
        <v>0</v>
      </c>
      <c r="E78" s="138">
        <v>0</v>
      </c>
    </row>
  </sheetData>
  <sheetProtection selectLockedCells="1" selectUnlockedCells="1"/>
  <mergeCells count="7">
    <mergeCell ref="B73:E73"/>
    <mergeCell ref="B19:D19"/>
    <mergeCell ref="B26:D26"/>
    <mergeCell ref="B30:D30"/>
    <mergeCell ref="B1:C1"/>
    <mergeCell ref="B2:C2"/>
    <mergeCell ref="B4:C4"/>
  </mergeCells>
  <dataValidations count="2">
    <dataValidation type="list" allowBlank="1" showInputMessage="1" showErrorMessage="1" sqref="E40">
      <formula1>$B$41:$B$42</formula1>
    </dataValidation>
    <dataValidation type="list" allowBlank="1" showInputMessage="1" showErrorMessage="1" sqref="E46">
      <formula1>"Yes, No"</formula1>
    </dataValidation>
  </dataValidations>
  <pageMargins left="0.7" right="0.7" top="0.75" bottom="0.75" header="0.3" footer="0.3"/>
  <pageSetup orientation="portrait" horizontalDpi="0" verticalDpi="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'Calculations (INTERNAL)'!$J$95:$J$96</xm:f>
          </x14:formula1>
          <xm:sqref>E75</xm:sqref>
        </x14:dataValidation>
        <x14:dataValidation type="list" allowBlank="1" showInputMessage="1" showErrorMessage="1">
          <x14:formula1>
            <xm:f>'Calculations (INTERNAL)'!$B$5:$B$172</xm:f>
          </x14:formula1>
          <xm:sqref>E33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Q63"/>
  <sheetViews>
    <sheetView workbookViewId="0">
      <selection activeCell="D11" sqref="D11"/>
    </sheetView>
  </sheetViews>
  <sheetFormatPr defaultColWidth="10.7109375" defaultRowHeight="12.75" outlineLevelCol="1"/>
  <cols>
    <col min="1" max="1" width="3.28515625" style="31" customWidth="1"/>
    <col min="2" max="2" width="35" style="31" customWidth="1"/>
    <col min="3" max="3" width="1" style="32" customWidth="1"/>
    <col min="4" max="15" width="10.7109375" style="31"/>
    <col min="16" max="16" width="2.7109375" style="32" customWidth="1"/>
    <col min="17" max="28" width="10.7109375" style="31" customWidth="1" outlineLevel="1"/>
    <col min="29" max="29" width="2.140625" style="31" customWidth="1"/>
    <col min="30" max="30" width="10.7109375" style="31" customWidth="1" outlineLevel="1" collapsed="1"/>
    <col min="31" max="41" width="10.7109375" style="31" customWidth="1" outlineLevel="1"/>
    <col min="42" max="16384" width="10.7109375" style="50"/>
  </cols>
  <sheetData>
    <row r="1" spans="1:43">
      <c r="A1" s="24"/>
      <c r="B1" s="24"/>
      <c r="C1" s="48"/>
      <c r="D1" s="24"/>
      <c r="E1" s="24"/>
      <c r="F1" s="24"/>
      <c r="G1" s="24"/>
      <c r="H1" s="24"/>
      <c r="I1" s="24"/>
      <c r="J1" s="24"/>
      <c r="K1" s="24"/>
      <c r="L1" s="24"/>
      <c r="M1" s="24"/>
      <c r="N1" s="24"/>
      <c r="O1" s="24"/>
      <c r="P1" s="48"/>
      <c r="Q1" s="24"/>
      <c r="R1" s="24"/>
      <c r="S1" s="24"/>
      <c r="T1" s="24"/>
      <c r="U1" s="24"/>
      <c r="V1" s="24"/>
      <c r="W1" s="24"/>
      <c r="X1" s="24"/>
      <c r="Y1" s="24"/>
      <c r="Z1" s="24"/>
      <c r="AA1" s="24"/>
      <c r="AB1" s="24"/>
      <c r="AC1" s="24"/>
      <c r="AD1" s="24"/>
      <c r="AE1" s="24"/>
      <c r="AF1" s="24"/>
      <c r="AG1" s="24"/>
      <c r="AH1" s="24"/>
      <c r="AI1" s="24"/>
      <c r="AJ1" s="24"/>
      <c r="AK1" s="24"/>
      <c r="AL1" s="24"/>
      <c r="AM1" s="24"/>
      <c r="AN1" s="24"/>
      <c r="AO1" s="24"/>
      <c r="AP1" s="49"/>
      <c r="AQ1" s="49"/>
    </row>
    <row r="3" spans="1:43">
      <c r="D3" s="189" t="s">
        <v>385</v>
      </c>
      <c r="E3" s="190"/>
      <c r="F3" s="190"/>
      <c r="G3" s="190"/>
      <c r="H3" s="190"/>
      <c r="I3" s="190"/>
      <c r="J3" s="190"/>
      <c r="K3" s="190"/>
      <c r="L3" s="190"/>
      <c r="M3" s="190"/>
      <c r="N3" s="190"/>
      <c r="O3" s="190"/>
      <c r="P3" s="62"/>
      <c r="Q3" s="191" t="s">
        <v>386</v>
      </c>
      <c r="R3" s="192"/>
      <c r="S3" s="192"/>
      <c r="T3" s="192"/>
      <c r="U3" s="192"/>
      <c r="V3" s="192"/>
      <c r="W3" s="192"/>
      <c r="X3" s="192"/>
      <c r="Y3" s="192"/>
      <c r="Z3" s="192"/>
      <c r="AA3" s="192"/>
      <c r="AB3" s="192"/>
      <c r="AC3" s="62"/>
      <c r="AD3" s="193" t="s">
        <v>387</v>
      </c>
      <c r="AE3" s="193"/>
      <c r="AF3" s="193"/>
      <c r="AG3" s="193"/>
      <c r="AH3" s="193"/>
      <c r="AI3" s="193"/>
      <c r="AJ3" s="193"/>
      <c r="AK3" s="193"/>
      <c r="AL3" s="193"/>
      <c r="AM3" s="193"/>
      <c r="AN3" s="193"/>
      <c r="AO3" s="193"/>
    </row>
    <row r="4" spans="1:43">
      <c r="D4" s="67">
        <v>1</v>
      </c>
      <c r="E4" s="67">
        <v>2</v>
      </c>
      <c r="F4" s="67">
        <v>3</v>
      </c>
      <c r="G4" s="67">
        <v>4</v>
      </c>
      <c r="H4" s="67">
        <v>5</v>
      </c>
      <c r="I4" s="67">
        <v>6</v>
      </c>
      <c r="J4" s="67">
        <v>7</v>
      </c>
      <c r="K4" s="67">
        <v>8</v>
      </c>
      <c r="L4" s="67">
        <v>9</v>
      </c>
      <c r="M4" s="67">
        <v>10</v>
      </c>
      <c r="N4" s="67">
        <v>11</v>
      </c>
      <c r="O4" s="67">
        <v>12</v>
      </c>
      <c r="P4" s="62"/>
      <c r="Q4" s="68">
        <v>13</v>
      </c>
      <c r="R4" s="68">
        <v>14</v>
      </c>
      <c r="S4" s="68">
        <v>15</v>
      </c>
      <c r="T4" s="68">
        <v>16</v>
      </c>
      <c r="U4" s="68">
        <v>17</v>
      </c>
      <c r="V4" s="68">
        <v>18</v>
      </c>
      <c r="W4" s="68">
        <v>19</v>
      </c>
      <c r="X4" s="68">
        <v>20</v>
      </c>
      <c r="Y4" s="68">
        <v>21</v>
      </c>
      <c r="Z4" s="68">
        <v>22</v>
      </c>
      <c r="AA4" s="68">
        <v>23</v>
      </c>
      <c r="AB4" s="68">
        <v>24</v>
      </c>
      <c r="AC4" s="62"/>
      <c r="AD4" s="69">
        <v>25</v>
      </c>
      <c r="AE4" s="69">
        <v>26</v>
      </c>
      <c r="AF4" s="69">
        <v>27</v>
      </c>
      <c r="AG4" s="69">
        <v>28</v>
      </c>
      <c r="AH4" s="69">
        <v>29</v>
      </c>
      <c r="AI4" s="69">
        <v>30</v>
      </c>
      <c r="AJ4" s="69">
        <v>31</v>
      </c>
      <c r="AK4" s="69">
        <v>32</v>
      </c>
      <c r="AL4" s="69">
        <v>33</v>
      </c>
      <c r="AM4" s="69">
        <v>34</v>
      </c>
      <c r="AN4" s="69">
        <v>35</v>
      </c>
      <c r="AO4" s="69">
        <v>36</v>
      </c>
    </row>
    <row r="5" spans="1:43">
      <c r="B5" s="50"/>
      <c r="C5" s="51"/>
      <c r="D5" s="167" t="s">
        <v>28</v>
      </c>
      <c r="E5" s="67" t="str">
        <f>VLOOKUP(D5,'Calculations (INTERNAL)'!$F$80:$G$91,2,)</f>
        <v>February</v>
      </c>
      <c r="F5" s="67" t="str">
        <f>VLOOKUP(E5,'Calculations (INTERNAL)'!$F$80:$G$91,2,)</f>
        <v>March</v>
      </c>
      <c r="G5" s="67" t="str">
        <f>VLOOKUP(F5,'Calculations (INTERNAL)'!$F$80:$G$91,2,)</f>
        <v>April</v>
      </c>
      <c r="H5" s="67" t="str">
        <f>VLOOKUP(G5,'Calculations (INTERNAL)'!$F$80:$G$91,2,)</f>
        <v>May</v>
      </c>
      <c r="I5" s="67" t="str">
        <f>VLOOKUP(H5,'Calculations (INTERNAL)'!$F$80:$G$91,2,)</f>
        <v>June</v>
      </c>
      <c r="J5" s="67" t="str">
        <f>VLOOKUP(I5,'Calculations (INTERNAL)'!$F$80:$G$91,2,)</f>
        <v>July</v>
      </c>
      <c r="K5" s="67" t="str">
        <f>VLOOKUP(J5,'Calculations (INTERNAL)'!$F$80:$G$91,2,)</f>
        <v>August</v>
      </c>
      <c r="L5" s="67" t="str">
        <f>VLOOKUP(K5,'Calculations (INTERNAL)'!$F$80:$G$91,2,)</f>
        <v>September</v>
      </c>
      <c r="M5" s="67" t="str">
        <f>VLOOKUP(L5,'Calculations (INTERNAL)'!$F$80:$G$91,2,)</f>
        <v>October</v>
      </c>
      <c r="N5" s="67" t="str">
        <f>VLOOKUP(M5,'Calculations (INTERNAL)'!$F$80:$G$91,2,)</f>
        <v>November</v>
      </c>
      <c r="O5" s="67" t="str">
        <f>VLOOKUP(N5,'Calculations (INTERNAL)'!$F$80:$G$91,2,)</f>
        <v>December</v>
      </c>
      <c r="P5" s="62"/>
      <c r="Q5" s="68" t="str">
        <f>VLOOKUP(O5,'Calculations (INTERNAL)'!$F$80:$G$91,2,)</f>
        <v>January</v>
      </c>
      <c r="R5" s="68" t="str">
        <f>VLOOKUP(Q5,'Calculations (INTERNAL)'!$F$80:$G$91,2,)</f>
        <v>February</v>
      </c>
      <c r="S5" s="68" t="str">
        <f>VLOOKUP(R5,'Calculations (INTERNAL)'!$F$80:$G$91,2,)</f>
        <v>March</v>
      </c>
      <c r="T5" s="68" t="str">
        <f>VLOOKUP(S5,'Calculations (INTERNAL)'!$F$80:$G$91,2,)</f>
        <v>April</v>
      </c>
      <c r="U5" s="68" t="str">
        <f>VLOOKUP(T5,'Calculations (INTERNAL)'!$F$80:$G$91,2,)</f>
        <v>May</v>
      </c>
      <c r="V5" s="68" t="str">
        <f>VLOOKUP(U5,'Calculations (INTERNAL)'!$F$80:$G$91,2,)</f>
        <v>June</v>
      </c>
      <c r="W5" s="68" t="str">
        <f>VLOOKUP(V5,'Calculations (INTERNAL)'!$F$80:$G$91,2,)</f>
        <v>July</v>
      </c>
      <c r="X5" s="68" t="str">
        <f>VLOOKUP(W5,'Calculations (INTERNAL)'!$F$80:$G$91,2,)</f>
        <v>August</v>
      </c>
      <c r="Y5" s="68" t="str">
        <f>VLOOKUP(X5,'Calculations (INTERNAL)'!$F$80:$G$91,2,)</f>
        <v>September</v>
      </c>
      <c r="Z5" s="68" t="str">
        <f>VLOOKUP(Y5,'Calculations (INTERNAL)'!$F$80:$G$91,2,)</f>
        <v>October</v>
      </c>
      <c r="AA5" s="68" t="str">
        <f>VLOOKUP(Z5,'Calculations (INTERNAL)'!$F$80:$G$91,2,)</f>
        <v>November</v>
      </c>
      <c r="AB5" s="68" t="s">
        <v>39</v>
      </c>
      <c r="AC5" s="62"/>
      <c r="AD5" s="69" t="str">
        <f>VLOOKUP(AB5,'Calculations (INTERNAL)'!$F$80:$G$91,2,)</f>
        <v>January</v>
      </c>
      <c r="AE5" s="69" t="str">
        <f>VLOOKUP(AD5,'Calculations (INTERNAL)'!$F$80:$G$91,2,)</f>
        <v>February</v>
      </c>
      <c r="AF5" s="69" t="str">
        <f>VLOOKUP(AE5,'Calculations (INTERNAL)'!$F$80:$G$91,2,)</f>
        <v>March</v>
      </c>
      <c r="AG5" s="69" t="str">
        <f>VLOOKUP(AF5,'Calculations (INTERNAL)'!$F$80:$G$91,2,)</f>
        <v>April</v>
      </c>
      <c r="AH5" s="69" t="str">
        <f>VLOOKUP(AG5,'Calculations (INTERNAL)'!$F$80:$G$91,2,)</f>
        <v>May</v>
      </c>
      <c r="AI5" s="69" t="str">
        <f>VLOOKUP(AH5,'Calculations (INTERNAL)'!$F$80:$G$91,2,)</f>
        <v>June</v>
      </c>
      <c r="AJ5" s="69" t="str">
        <f>VLOOKUP(AI5,'Calculations (INTERNAL)'!$F$80:$G$91,2,)</f>
        <v>July</v>
      </c>
      <c r="AK5" s="69" t="str">
        <f>VLOOKUP(AJ5,'Calculations (INTERNAL)'!$F$80:$G$91,2,)</f>
        <v>August</v>
      </c>
      <c r="AL5" s="69" t="str">
        <f>VLOOKUP(AK5,'Calculations (INTERNAL)'!$F$80:$G$91,2,)</f>
        <v>September</v>
      </c>
      <c r="AM5" s="69" t="str">
        <f>VLOOKUP(AL5,'Calculations (INTERNAL)'!$F$80:$G$91,2,)</f>
        <v>October</v>
      </c>
      <c r="AN5" s="69" t="str">
        <f>VLOOKUP(AM5,'Calculations (INTERNAL)'!$F$80:$G$91,2,)</f>
        <v>November</v>
      </c>
      <c r="AO5" s="69" t="str">
        <f>VLOOKUP(AN5,'Calculations (INTERNAL)'!$F$80:$G$91,2,)</f>
        <v>December</v>
      </c>
    </row>
    <row r="6" spans="1:43" s="51" customFormat="1">
      <c r="A6" s="31"/>
      <c r="B6" s="26" t="s">
        <v>308</v>
      </c>
      <c r="C6" s="58"/>
      <c r="D6" s="56"/>
      <c r="E6" s="57"/>
      <c r="F6" s="57"/>
      <c r="G6" s="57"/>
      <c r="H6" s="57"/>
      <c r="I6" s="57"/>
      <c r="J6" s="57"/>
      <c r="K6" s="57"/>
      <c r="L6" s="57"/>
      <c r="M6" s="57"/>
      <c r="N6" s="57"/>
      <c r="O6" s="55"/>
      <c r="P6" s="62"/>
      <c r="Q6" s="56"/>
      <c r="R6" s="57"/>
      <c r="S6" s="57"/>
      <c r="T6" s="57"/>
      <c r="U6" s="57"/>
      <c r="V6" s="57"/>
      <c r="W6" s="57"/>
      <c r="X6" s="57"/>
      <c r="Y6" s="57"/>
      <c r="Z6" s="57"/>
      <c r="AA6" s="57"/>
      <c r="AB6" s="55"/>
      <c r="AC6" s="62"/>
      <c r="AD6" s="56"/>
      <c r="AE6" s="57"/>
      <c r="AF6" s="57"/>
      <c r="AG6" s="57"/>
      <c r="AH6" s="57"/>
      <c r="AI6" s="57"/>
      <c r="AJ6" s="57"/>
      <c r="AK6" s="57"/>
      <c r="AL6" s="57"/>
      <c r="AM6" s="57"/>
      <c r="AN6" s="57"/>
      <c r="AO6" s="55"/>
    </row>
    <row r="7" spans="1:43">
      <c r="B7" s="25" t="s">
        <v>309</v>
      </c>
      <c r="C7" s="48"/>
      <c r="D7" s="28">
        <f>'Basic inputs'!$D$29*4.3</f>
        <v>2150</v>
      </c>
      <c r="E7" s="28">
        <f>'Basic inputs'!$D$29*4.3</f>
        <v>2150</v>
      </c>
      <c r="F7" s="28">
        <f>'Basic inputs'!$D$29*4.3</f>
        <v>2150</v>
      </c>
      <c r="G7" s="28">
        <f>'Basic inputs'!$D$29*4.3</f>
        <v>2150</v>
      </c>
      <c r="H7" s="28">
        <f>'Basic inputs'!$D$29*4.3</f>
        <v>2150</v>
      </c>
      <c r="I7" s="28">
        <f>'Basic inputs'!$D$29*4.3</f>
        <v>2150</v>
      </c>
      <c r="J7" s="28">
        <f>'Basic inputs'!$D$29*4.3</f>
        <v>2150</v>
      </c>
      <c r="K7" s="28">
        <f>'Basic inputs'!$D$29*4.3</f>
        <v>2150</v>
      </c>
      <c r="L7" s="28">
        <f>'Basic inputs'!$D$29*4.3</f>
        <v>2150</v>
      </c>
      <c r="M7" s="28">
        <f>'Basic inputs'!$D$29*4.3</f>
        <v>2150</v>
      </c>
      <c r="N7" s="28">
        <f>'Basic inputs'!$D$29*4.3</f>
        <v>2150</v>
      </c>
      <c r="O7" s="28">
        <f>'Basic inputs'!$D$29*4.3</f>
        <v>2150</v>
      </c>
      <c r="P7" s="63"/>
      <c r="Q7" s="28">
        <f>'Basic inputs'!$D$29*4.3</f>
        <v>2150</v>
      </c>
      <c r="R7" s="28">
        <f>'Basic inputs'!$D$29*4.3</f>
        <v>2150</v>
      </c>
      <c r="S7" s="28">
        <f>'Basic inputs'!$D$29*4.3</f>
        <v>2150</v>
      </c>
      <c r="T7" s="28">
        <f>'Basic inputs'!$D$29*4.3</f>
        <v>2150</v>
      </c>
      <c r="U7" s="28">
        <f>'Basic inputs'!$D$29*4.3</f>
        <v>2150</v>
      </c>
      <c r="V7" s="28">
        <f>'Basic inputs'!$D$29*4.3</f>
        <v>2150</v>
      </c>
      <c r="W7" s="28">
        <f>'Basic inputs'!$D$29*4.3</f>
        <v>2150</v>
      </c>
      <c r="X7" s="28">
        <f>'Basic inputs'!$D$29*4.3</f>
        <v>2150</v>
      </c>
      <c r="Y7" s="28">
        <f>'Basic inputs'!$D$29*4.3</f>
        <v>2150</v>
      </c>
      <c r="Z7" s="28">
        <f>'Basic inputs'!$D$29*4.3</f>
        <v>2150</v>
      </c>
      <c r="AA7" s="28">
        <f>'Basic inputs'!$D$29*4.3</f>
        <v>2150</v>
      </c>
      <c r="AB7" s="28">
        <f>'Basic inputs'!$D$29*4.3</f>
        <v>2150</v>
      </c>
      <c r="AC7" s="63"/>
      <c r="AD7" s="28">
        <f>'Basic inputs'!$D$29*4.3</f>
        <v>2150</v>
      </c>
      <c r="AE7" s="28">
        <f>'Basic inputs'!$D$29*4.3</f>
        <v>2150</v>
      </c>
      <c r="AF7" s="28">
        <f>'Basic inputs'!$D$29*4.3</f>
        <v>2150</v>
      </c>
      <c r="AG7" s="28">
        <f>'Basic inputs'!$D$29*4.3</f>
        <v>2150</v>
      </c>
      <c r="AH7" s="28">
        <f>'Basic inputs'!$D$29*4.3</f>
        <v>2150</v>
      </c>
      <c r="AI7" s="28">
        <f>'Basic inputs'!$D$29*4.3</f>
        <v>2150</v>
      </c>
      <c r="AJ7" s="28">
        <f>'Basic inputs'!$D$29*4.3</f>
        <v>2150</v>
      </c>
      <c r="AK7" s="28">
        <f>'Basic inputs'!$D$29*4.3</f>
        <v>2150</v>
      </c>
      <c r="AL7" s="28">
        <f>'Basic inputs'!$D$29*4.3</f>
        <v>2150</v>
      </c>
      <c r="AM7" s="28">
        <f>'Basic inputs'!$D$29*4.3</f>
        <v>2150</v>
      </c>
      <c r="AN7" s="28">
        <f>'Basic inputs'!$D$29*4.3</f>
        <v>2150</v>
      </c>
      <c r="AO7" s="28">
        <f>'Basic inputs'!$D$29*4.3</f>
        <v>2150</v>
      </c>
    </row>
    <row r="8" spans="1:43">
      <c r="B8" s="25" t="s">
        <v>304</v>
      </c>
      <c r="C8" s="48"/>
      <c r="D8" s="28">
        <f>IF(D$4&lt;22,'Calculations (INTERNAL)'!$N$17,0)</f>
        <v>803</v>
      </c>
      <c r="E8" s="28">
        <f>IF(E$4&lt;22,'Calculations (INTERNAL)'!$N$17,0)</f>
        <v>803</v>
      </c>
      <c r="F8" s="28">
        <f>IF(F$4&lt;22,'Calculations (INTERNAL)'!$N$17,0)</f>
        <v>803</v>
      </c>
      <c r="G8" s="28">
        <f>IF(G$4&lt;22,'Calculations (INTERNAL)'!$N$17,0)</f>
        <v>803</v>
      </c>
      <c r="H8" s="28">
        <f>IF(H$4&lt;22,'Calculations (INTERNAL)'!$N$17,0)</f>
        <v>803</v>
      </c>
      <c r="I8" s="28">
        <f>IF(I$4&lt;22,'Calculations (INTERNAL)'!$N$17,0)</f>
        <v>803</v>
      </c>
      <c r="J8" s="28">
        <f>IF(J$4&lt;22,'Calculations (INTERNAL)'!$N$17,0)</f>
        <v>803</v>
      </c>
      <c r="K8" s="28">
        <f>IF(K$4&lt;22,'Calculations (INTERNAL)'!$N$17,0)</f>
        <v>803</v>
      </c>
      <c r="L8" s="28">
        <f>IF(L$4&lt;22,'Calculations (INTERNAL)'!$N$17,0)</f>
        <v>803</v>
      </c>
      <c r="M8" s="28">
        <f>IF(M$4&lt;22,'Calculations (INTERNAL)'!$N$17,0)</f>
        <v>803</v>
      </c>
      <c r="N8" s="28">
        <f>IF(N$4&lt;22,'Calculations (INTERNAL)'!$N$17,0)</f>
        <v>803</v>
      </c>
      <c r="O8" s="28">
        <f>IF(O$4&lt;22,'Calculations (INTERNAL)'!$N$17,0)</f>
        <v>803</v>
      </c>
      <c r="P8" s="63"/>
      <c r="Q8" s="28">
        <f>IF(Q$4&lt;22,'Calculations (INTERNAL)'!$N$17,0)</f>
        <v>803</v>
      </c>
      <c r="R8" s="28">
        <f>IF(R$4&lt;22,'Calculations (INTERNAL)'!$N$17,0)</f>
        <v>803</v>
      </c>
      <c r="S8" s="28">
        <f>IF(S$4&lt;22,'Calculations (INTERNAL)'!$N$17,0)</f>
        <v>803</v>
      </c>
      <c r="T8" s="28">
        <f>IF(T$4&lt;22,'Calculations (INTERNAL)'!$N$17,0)</f>
        <v>803</v>
      </c>
      <c r="U8" s="28">
        <f>IF(U$4&lt;22,'Calculations (INTERNAL)'!$N$17,0)</f>
        <v>803</v>
      </c>
      <c r="V8" s="28">
        <f>IF(V$4&lt;22,'Calculations (INTERNAL)'!$N$17,0)</f>
        <v>803</v>
      </c>
      <c r="W8" s="28">
        <f>IF(W$4&lt;22,'Calculations (INTERNAL)'!$N$17,0)</f>
        <v>803</v>
      </c>
      <c r="X8" s="28">
        <f>IF(X$4&lt;22,'Calculations (INTERNAL)'!$N$17,0)</f>
        <v>803</v>
      </c>
      <c r="Y8" s="28">
        <f>IF(Y$4&lt;22,'Calculations (INTERNAL)'!$N$17,0)</f>
        <v>803</v>
      </c>
      <c r="Z8" s="28">
        <f>IF(Z$4&lt;22,'Calculations (INTERNAL)'!$N$17,0)</f>
        <v>0</v>
      </c>
      <c r="AA8" s="28">
        <f>IF(AA$4&lt;22,'Calculations (INTERNAL)'!$N$17,0)</f>
        <v>0</v>
      </c>
      <c r="AB8" s="28">
        <f>IF(AB$4&lt;22,'Calculations (INTERNAL)'!$N$17,0)</f>
        <v>0</v>
      </c>
      <c r="AC8" s="63"/>
      <c r="AD8" s="28">
        <f>IF(AD$4&lt;22,'Calculations (INTERNAL)'!$N$17,0)</f>
        <v>0</v>
      </c>
      <c r="AE8" s="28">
        <f>IF(AE$4&lt;22,'Calculations (INTERNAL)'!$N$17,0)</f>
        <v>0</v>
      </c>
      <c r="AF8" s="28">
        <f>IF(AF$4&lt;22,'Calculations (INTERNAL)'!$N$17,0)</f>
        <v>0</v>
      </c>
      <c r="AG8" s="28">
        <f>IF(AG$4&lt;22,'Calculations (INTERNAL)'!$N$17,0)</f>
        <v>0</v>
      </c>
      <c r="AH8" s="28">
        <f>IF(AH$4&lt;22,'Calculations (INTERNAL)'!$N$17,0)</f>
        <v>0</v>
      </c>
      <c r="AI8" s="28">
        <f>IF(AI$4&lt;22,'Calculations (INTERNAL)'!$N$17,0)</f>
        <v>0</v>
      </c>
      <c r="AJ8" s="28">
        <f>IF(AJ$4&lt;22,'Calculations (INTERNAL)'!$N$17,0)</f>
        <v>0</v>
      </c>
      <c r="AK8" s="28">
        <f>IF(AK$4&lt;22,'Calculations (INTERNAL)'!$N$17,0)</f>
        <v>0</v>
      </c>
      <c r="AL8" s="28">
        <f>IF(AL$4&lt;22,'Calculations (INTERNAL)'!$N$17,0)</f>
        <v>0</v>
      </c>
      <c r="AM8" s="28">
        <f>IF(AM$4&lt;22,'Calculations (INTERNAL)'!$N$17,0)</f>
        <v>0</v>
      </c>
      <c r="AN8" s="28">
        <f>IF(AN$4&lt;22,'Calculations (INTERNAL)'!$N$17,0)</f>
        <v>0</v>
      </c>
      <c r="AO8" s="28">
        <f>IF(AO$4&lt;22,'Calculations (INTERNAL)'!$N$17,0)</f>
        <v>0</v>
      </c>
    </row>
    <row r="9" spans="1:43">
      <c r="B9" s="25" t="s">
        <v>305</v>
      </c>
      <c r="C9" s="48"/>
      <c r="D9" s="28">
        <f>IF(AND(D8=0,SUM('Basic inputs'!$D$22,'Basic inputs'!$D$23)&gt;0,'Basic inputs'!$D$29&lt;1070),IF('Basic inputs'!$D$12&gt;1,1157,771),0)</f>
        <v>0</v>
      </c>
      <c r="E9" s="28">
        <f>IF(AND(E8=0,SUM('Basic inputs'!$D$22,'Basic inputs'!$D$23)&gt;0,'Basic inputs'!$D$29&lt;1070),IF('Basic inputs'!$D$12&gt;1,1157,771),0)</f>
        <v>0</v>
      </c>
      <c r="F9" s="28">
        <f>IF(AND(F8=0,SUM('Basic inputs'!$D$22,'Basic inputs'!$D$23)&gt;0,'Basic inputs'!$D$29&lt;1070),IF('Basic inputs'!$D$12&gt;1,1157,771),0)</f>
        <v>0</v>
      </c>
      <c r="G9" s="28">
        <f>IF(AND(G8=0,SUM('Basic inputs'!$D$22,'Basic inputs'!$D$23)&gt;0,'Basic inputs'!$D$29&lt;1070),IF('Basic inputs'!$D$12&gt;1,1157,771),0)</f>
        <v>0</v>
      </c>
      <c r="H9" s="28">
        <f>IF(AND(H8=0,SUM('Basic inputs'!$D$22,'Basic inputs'!$D$23)&gt;0,'Basic inputs'!$D$29&lt;1070),IF('Basic inputs'!$D$12&gt;1,1157,771),0)</f>
        <v>0</v>
      </c>
      <c r="I9" s="28">
        <f>IF(AND(I8=0,SUM('Basic inputs'!$D$22,'Basic inputs'!$D$23)&gt;0,'Basic inputs'!$D$29&lt;1070),IF('Basic inputs'!$D$12&gt;1,1157,771),0)</f>
        <v>0</v>
      </c>
      <c r="J9" s="28">
        <f>IF(AND(J8=0,SUM('Basic inputs'!$D$22,'Basic inputs'!$D$23)&gt;0,'Basic inputs'!$D$29&lt;1070),IF('Basic inputs'!$D$12&gt;1,1157,771),0)</f>
        <v>0</v>
      </c>
      <c r="K9" s="28">
        <f>IF(AND(K8=0,SUM('Basic inputs'!$D$22,'Basic inputs'!$D$23)&gt;0,'Basic inputs'!$D$29&lt;1070),IF('Basic inputs'!$D$12&gt;1,1157,771),0)</f>
        <v>0</v>
      </c>
      <c r="L9" s="28">
        <f>IF(AND(L8=0,SUM('Basic inputs'!$D$22,'Basic inputs'!$D$23)&gt;0,'Basic inputs'!$D$29&lt;1070),IF('Basic inputs'!$D$12&gt;1,1157,771),0)</f>
        <v>0</v>
      </c>
      <c r="M9" s="28">
        <f>IF(AND(M8=0,SUM('Basic inputs'!$D$22,'Basic inputs'!$D$23)&gt;0,'Basic inputs'!$D$29&lt;1070),IF('Basic inputs'!$D$12&gt;1,1157,771),0)</f>
        <v>0</v>
      </c>
      <c r="N9" s="28">
        <f>IF(AND(N8=0,SUM('Basic inputs'!$D$22,'Basic inputs'!$D$23)&gt;0,'Basic inputs'!$D$29&lt;1070),IF('Basic inputs'!$D$12&gt;1,1157,771),0)</f>
        <v>0</v>
      </c>
      <c r="O9" s="28">
        <f>IF(AND(O8=0,SUM('Basic inputs'!$D$22,'Basic inputs'!$D$23)&gt;0,'Basic inputs'!$D$29&lt;1070),IF('Basic inputs'!$D$12&gt;1,1157,771),0)</f>
        <v>0</v>
      </c>
      <c r="P9" s="28"/>
      <c r="Q9" s="28">
        <f>IF(AND(Q8=0,SUM('Basic inputs'!$D$22,'Basic inputs'!$D$23)&gt;0,'Basic inputs'!$D$29&lt;1070),IF('Basic inputs'!$D$12&gt;1,1157,771),0)</f>
        <v>0</v>
      </c>
      <c r="R9" s="28">
        <f>IF(AND(R8=0,SUM('Basic inputs'!$D$22,'Basic inputs'!$D$23)&gt;0,'Basic inputs'!$D$29&lt;1070),IF('Basic inputs'!$D$12&gt;1,1157,771),0)</f>
        <v>0</v>
      </c>
      <c r="S9" s="28">
        <f>IF(AND(S8=0,SUM('Basic inputs'!$D$22,'Basic inputs'!$D$23)&gt;0,'Basic inputs'!$D$29&lt;1070),IF('Basic inputs'!$D$12&gt;1,1157,771),0)</f>
        <v>0</v>
      </c>
      <c r="T9" s="28">
        <f>IF(AND(T8=0,SUM('Basic inputs'!$D$22,'Basic inputs'!$D$23)&gt;0,'Basic inputs'!$D$29&lt;1070),IF('Basic inputs'!$D$12&gt;1,1157,771),0)</f>
        <v>0</v>
      </c>
      <c r="U9" s="28">
        <f>IF(AND(U8=0,SUM('Basic inputs'!$D$22,'Basic inputs'!$D$23)&gt;0,'Basic inputs'!$D$29&lt;1070),IF('Basic inputs'!$D$12&gt;1,1157,771),0)</f>
        <v>0</v>
      </c>
      <c r="V9" s="28">
        <f>IF(AND(V8=0,SUM('Basic inputs'!$D$22,'Basic inputs'!$D$23)&gt;0,'Basic inputs'!$D$29&lt;1070),IF('Basic inputs'!$D$12&gt;1,1157,771),0)</f>
        <v>0</v>
      </c>
      <c r="W9" s="28">
        <f>IF(AND(W8=0,SUM('Basic inputs'!$D$22,'Basic inputs'!$D$23)&gt;0,'Basic inputs'!$D$29&lt;1070),IF('Basic inputs'!$D$12&gt;1,1157,771),0)</f>
        <v>0</v>
      </c>
      <c r="X9" s="28">
        <f>IF(AND(X8=0,SUM('Basic inputs'!$D$22,'Basic inputs'!$D$23)&gt;0,'Basic inputs'!$D$29&lt;1070),IF('Basic inputs'!$D$12&gt;1,1157,771),0)</f>
        <v>0</v>
      </c>
      <c r="Y9" s="28">
        <f>IF(AND(Y8=0,SUM('Basic inputs'!$D$22,'Basic inputs'!$D$23)&gt;0,'Basic inputs'!$D$29&lt;1070),IF('Basic inputs'!$D$12&gt;1,1157,771),0)</f>
        <v>0</v>
      </c>
      <c r="Z9" s="28">
        <f>IF(AND(Z8=0,SUM('Basic inputs'!$D$22,'Basic inputs'!$D$23)&gt;0,'Basic inputs'!$D$29&lt;1070),IF('Basic inputs'!$D$12&gt;1,1157,771),0)</f>
        <v>1157</v>
      </c>
      <c r="AA9" s="28">
        <f>IF(AND(AA8=0,SUM('Basic inputs'!$D$22,'Basic inputs'!$D$23)&gt;0,'Basic inputs'!$D$29&lt;1070),IF('Basic inputs'!$D$12&gt;1,1157,771),0)</f>
        <v>1157</v>
      </c>
      <c r="AB9" s="28">
        <f>IF(AND(AB8=0,SUM('Basic inputs'!$D$22,'Basic inputs'!$D$23)&gt;0,'Basic inputs'!$D$29&lt;1070),IF('Basic inputs'!$D$12&gt;1,1157,771),0)</f>
        <v>1157</v>
      </c>
      <c r="AC9" s="28"/>
      <c r="AD9" s="28">
        <f>IF(AND(AD8=0,SUM('Basic inputs'!$D$22,'Basic inputs'!$D$23)&gt;0,'Basic inputs'!$D$29&lt;1070),IF('Basic inputs'!$D$12&gt;1,1157,771),0)</f>
        <v>1157</v>
      </c>
      <c r="AE9" s="28">
        <f>IF(AND(AE8=0,SUM('Basic inputs'!$D$22,'Basic inputs'!$D$23)&gt;0,'Basic inputs'!$D$29&lt;1070),IF('Basic inputs'!$D$12&gt;1,1157,771),0)</f>
        <v>1157</v>
      </c>
      <c r="AF9" s="28">
        <f>IF(AND(AF8=0,SUM('Basic inputs'!$D$22,'Basic inputs'!$D$23)&gt;0,'Basic inputs'!$D$29&lt;1070),IF('Basic inputs'!$D$12&gt;1,1157,771),0)</f>
        <v>1157</v>
      </c>
      <c r="AG9" s="28">
        <f>IF(AND(AG8=0,SUM('Basic inputs'!$D$22,'Basic inputs'!$D$23)&gt;0,'Basic inputs'!$D$29&lt;1070),IF('Basic inputs'!$D$12&gt;1,1157,771),0)</f>
        <v>1157</v>
      </c>
      <c r="AH9" s="28">
        <f>IF(AND(AH8=0,SUM('Basic inputs'!$D$22,'Basic inputs'!$D$23)&gt;0,'Basic inputs'!$D$29&lt;1070),IF('Basic inputs'!$D$12&gt;1,1157,771),0)</f>
        <v>1157</v>
      </c>
      <c r="AI9" s="28">
        <f>IF(AND(AI8=0,SUM('Basic inputs'!$D$22,'Basic inputs'!$D$23)&gt;0,'Basic inputs'!$D$29&lt;1070),IF('Basic inputs'!$D$12&gt;1,1157,771),0)</f>
        <v>1157</v>
      </c>
      <c r="AJ9" s="28">
        <f>IF(AND(AJ8=0,SUM('Basic inputs'!$D$22,'Basic inputs'!$D$23)&gt;0,'Basic inputs'!$D$29&lt;1070),IF('Basic inputs'!$D$12&gt;1,1157,771),0)</f>
        <v>1157</v>
      </c>
      <c r="AK9" s="28">
        <f>IF(AND(AK8=0,SUM('Basic inputs'!$D$22,'Basic inputs'!$D$23)&gt;0,'Basic inputs'!$D$29&lt;1070),IF('Basic inputs'!$D$12&gt;1,1157,771),0)</f>
        <v>1157</v>
      </c>
      <c r="AL9" s="28">
        <f>IF(AND(AL8=0,SUM('Basic inputs'!$D$22,'Basic inputs'!$D$23)&gt;0,'Basic inputs'!$D$29&lt;1070),IF('Basic inputs'!$D$12&gt;1,1157,771),0)</f>
        <v>1157</v>
      </c>
      <c r="AM9" s="28">
        <f>IF(AND(AM8=0,SUM('Basic inputs'!$D$22,'Basic inputs'!$D$23)&gt;0,'Basic inputs'!$D$29&lt;1070),IF('Basic inputs'!$D$12&gt;1,1157,771),0)</f>
        <v>1157</v>
      </c>
      <c r="AN9" s="28">
        <f>IF(AND(AN8=0,SUM('Basic inputs'!$D$22,'Basic inputs'!$D$23)&gt;0,'Basic inputs'!$D$29&lt;1070),IF('Basic inputs'!$D$12&gt;1,1157,771),0)</f>
        <v>1157</v>
      </c>
      <c r="AO9" s="28">
        <f>IF(AND(AO8=0,SUM('Basic inputs'!$D$22,'Basic inputs'!$D$23)&gt;0,'Basic inputs'!$D$29&lt;1070),IF('Basic inputs'!$D$12&gt;1,1157,771),0)</f>
        <v>1157</v>
      </c>
    </row>
    <row r="10" spans="1:43">
      <c r="B10" s="25" t="s">
        <v>310</v>
      </c>
      <c r="C10" s="48"/>
      <c r="D10" s="28">
        <f>1025*'Basic inputs'!D17</f>
        <v>5125</v>
      </c>
      <c r="E10" s="28">
        <v>0</v>
      </c>
      <c r="F10" s="28">
        <v>0</v>
      </c>
      <c r="G10" s="28">
        <v>0</v>
      </c>
      <c r="H10" s="28">
        <v>0</v>
      </c>
      <c r="I10" s="28">
        <v>0</v>
      </c>
      <c r="J10" s="28">
        <v>0</v>
      </c>
      <c r="K10" s="28">
        <v>0</v>
      </c>
      <c r="L10" s="28">
        <v>0</v>
      </c>
      <c r="M10" s="28">
        <v>0</v>
      </c>
      <c r="N10" s="28">
        <v>0</v>
      </c>
      <c r="O10" s="28">
        <v>0</v>
      </c>
      <c r="P10" s="63"/>
      <c r="Q10" s="28">
        <v>0</v>
      </c>
      <c r="R10" s="28">
        <v>0</v>
      </c>
      <c r="S10" s="28">
        <v>0</v>
      </c>
      <c r="T10" s="28">
        <v>0</v>
      </c>
      <c r="U10" s="28">
        <v>0</v>
      </c>
      <c r="V10" s="28">
        <v>0</v>
      </c>
      <c r="W10" s="28">
        <v>0</v>
      </c>
      <c r="X10" s="28">
        <v>0</v>
      </c>
      <c r="Y10" s="28">
        <v>0</v>
      </c>
      <c r="Z10" s="28">
        <v>0</v>
      </c>
      <c r="AA10" s="28">
        <v>0</v>
      </c>
      <c r="AB10" s="28">
        <v>0</v>
      </c>
      <c r="AC10" s="63"/>
      <c r="AD10" s="28">
        <v>0</v>
      </c>
      <c r="AE10" s="28">
        <v>0</v>
      </c>
      <c r="AF10" s="28">
        <v>0</v>
      </c>
      <c r="AG10" s="28">
        <v>0</v>
      </c>
      <c r="AH10" s="28">
        <v>0</v>
      </c>
      <c r="AI10" s="28">
        <v>0</v>
      </c>
      <c r="AJ10" s="28">
        <v>0</v>
      </c>
      <c r="AK10" s="28">
        <v>0</v>
      </c>
      <c r="AL10" s="28">
        <v>0</v>
      </c>
      <c r="AM10" s="28">
        <v>0</v>
      </c>
      <c r="AN10" s="28">
        <v>0</v>
      </c>
      <c r="AO10" s="28">
        <v>0</v>
      </c>
    </row>
    <row r="11" spans="1:43" ht="12" customHeight="1">
      <c r="B11" s="25" t="s">
        <v>307</v>
      </c>
      <c r="C11" s="48"/>
      <c r="D11" s="28">
        <f>IF(AND('Basic inputs'!$D$29&lt;VLOOKUP('Basic inputs'!$D$17,'Calculations (INTERNAL)'!$J$33:$L$40,3,FALSE),SUM('Basic inputs'!$D$22,'Basic inputs'!$D$23,'Basic inputs'!$D$24)&gt;0),110*VLOOKUP('Budget (Base)'!D5,'Calculations (INTERNAL)'!$O$32:$P$43,2,FALSE), IF('Basic inputs'!$D$29&lt;VLOOKUP('Basic inputs'!$D$17,'Calculations (INTERNAL)'!$J$33:$L$40,3,FALSE),100.83*VLOOKUP('Budget (Base)'!D5,'Calculations (INTERNAL)'!$O$32:$P$43,2,FALSE),0))</f>
        <v>110</v>
      </c>
      <c r="E11" s="28">
        <f>IF(AND('Basic inputs'!$D$29&lt;VLOOKUP('Basic inputs'!$D$17,'Calculations (INTERNAL)'!$J$33:$L$40,3,FALSE),SUM('Basic inputs'!$D$22,'Basic inputs'!$D$23,'Basic inputs'!$D$24)&gt;0),110*VLOOKUP('Budget (Base)'!E5,'Calculations (INTERNAL)'!$O$32:$P$43,2,FALSE), IF('Basic inputs'!$D$29&lt;VLOOKUP('Basic inputs'!$D$17,'Calculations (INTERNAL)'!$J$33:$L$40,3,FALSE),100.83*VLOOKUP('Budget (Base)'!E5,'Calculations (INTERNAL)'!$O$32:$P$43,2,FALSE),0))</f>
        <v>110</v>
      </c>
      <c r="F11" s="28">
        <f>IF(AND('Basic inputs'!$D$29&lt;VLOOKUP('Basic inputs'!$D$17,'Calculations (INTERNAL)'!$J$33:$L$40,3,FALSE),SUM('Basic inputs'!$D$22,'Basic inputs'!$D$23,'Basic inputs'!$D$24)&gt;0),110*VLOOKUP('Budget (Base)'!F5,'Calculations (INTERNAL)'!$O$32:$P$43,2,FALSE), IF('Basic inputs'!$D$29&lt;VLOOKUP('Basic inputs'!$D$17,'Calculations (INTERNAL)'!$J$33:$L$40,3,FALSE),100.83*VLOOKUP('Budget (Base)'!F5,'Calculations (INTERNAL)'!$O$32:$P$43,2,FALSE),0))</f>
        <v>110</v>
      </c>
      <c r="G11" s="28">
        <f>IF(AND('Basic inputs'!$D$29&lt;VLOOKUP('Basic inputs'!$D$17,'Calculations (INTERNAL)'!$J$33:$L$40,3,FALSE),SUM('Basic inputs'!$D$22,'Basic inputs'!$D$23,'Basic inputs'!$D$24)&gt;0),110*VLOOKUP('Budget (Base)'!G5,'Calculations (INTERNAL)'!$O$32:$P$43,2,FALSE), IF('Basic inputs'!$D$29&lt;VLOOKUP('Basic inputs'!$D$17,'Calculations (INTERNAL)'!$J$33:$L$40,3,FALSE),100.83*VLOOKUP('Budget (Base)'!G5,'Calculations (INTERNAL)'!$O$32:$P$43,2,FALSE),0))</f>
        <v>110</v>
      </c>
      <c r="H11" s="28">
        <f>IF(AND('Basic inputs'!$D$29&lt;VLOOKUP('Basic inputs'!$D$17,'Calculations (INTERNAL)'!$J$33:$L$40,3,FALSE),SUM('Basic inputs'!$D$22,'Basic inputs'!$D$23,'Basic inputs'!$D$24)&gt;0),110*VLOOKUP('Budget (Base)'!H5,'Calculations (INTERNAL)'!$O$32:$P$43,2,FALSE), IF('Basic inputs'!$D$29&lt;VLOOKUP('Basic inputs'!$D$17,'Calculations (INTERNAL)'!$J$33:$L$40,3,FALSE),100.83*VLOOKUP('Budget (Base)'!H5,'Calculations (INTERNAL)'!$O$32:$P$43,2,FALSE),0))</f>
        <v>0</v>
      </c>
      <c r="I11" s="28">
        <f>IF(AND('Basic inputs'!$D$29&lt;VLOOKUP('Basic inputs'!$D$17,'Calculations (INTERNAL)'!$J$33:$L$40,3,FALSE),SUM('Basic inputs'!$D$22,'Basic inputs'!$D$23,'Basic inputs'!$D$24)&gt;0),110*VLOOKUP('Budget (Base)'!I5,'Calculations (INTERNAL)'!$O$32:$P$43,2,FALSE), IF('Basic inputs'!$D$29&lt;VLOOKUP('Basic inputs'!$D$17,'Calculations (INTERNAL)'!$J$33:$L$40,3,FALSE),100.83*VLOOKUP('Budget (Base)'!I5,'Calculations (INTERNAL)'!$O$32:$P$43,2,FALSE),0))</f>
        <v>0</v>
      </c>
      <c r="J11" s="28">
        <f>IF(AND('Basic inputs'!$D$29&lt;VLOOKUP('Basic inputs'!$D$17,'Calculations (INTERNAL)'!$J$33:$L$40,3,FALSE),SUM('Basic inputs'!$D$22,'Basic inputs'!$D$23,'Basic inputs'!$D$24)&gt;0),110*VLOOKUP('Budget (Base)'!J5,'Calculations (INTERNAL)'!$O$32:$P$43,2,FALSE), IF('Basic inputs'!$D$29&lt;VLOOKUP('Basic inputs'!$D$17,'Calculations (INTERNAL)'!$J$33:$L$40,3,FALSE),100.83*VLOOKUP('Budget (Base)'!J5,'Calculations (INTERNAL)'!$O$32:$P$43,2,FALSE),0))</f>
        <v>0</v>
      </c>
      <c r="K11" s="28">
        <f>IF(AND('Basic inputs'!$D$29&lt;VLOOKUP('Basic inputs'!$D$17,'Calculations (INTERNAL)'!$J$33:$L$40,3,FALSE),SUM('Basic inputs'!$D$22,'Basic inputs'!$D$23,'Basic inputs'!$D$24)&gt;0),110*VLOOKUP('Budget (Base)'!K5,'Calculations (INTERNAL)'!$O$32:$P$43,2,FALSE), IF('Basic inputs'!$D$29&lt;VLOOKUP('Basic inputs'!$D$17,'Calculations (INTERNAL)'!$J$33:$L$40,3,FALSE),100.83*VLOOKUP('Budget (Base)'!K5,'Calculations (INTERNAL)'!$O$32:$P$43,2,FALSE),0))</f>
        <v>0</v>
      </c>
      <c r="L11" s="28">
        <f>IF(AND('Basic inputs'!$D$29&lt;VLOOKUP('Basic inputs'!$D$17,'Calculations (INTERNAL)'!$J$33:$L$40,3,FALSE),SUM('Basic inputs'!$D$22,'Basic inputs'!$D$23,'Basic inputs'!$D$24)&gt;0),110*VLOOKUP('Budget (Base)'!L5,'Calculations (INTERNAL)'!$O$32:$P$43,2,FALSE), IF('Basic inputs'!$D$29&lt;VLOOKUP('Basic inputs'!$D$17,'Calculations (INTERNAL)'!$J$33:$L$40,3,FALSE),100.83*VLOOKUP('Budget (Base)'!L5,'Calculations (INTERNAL)'!$O$32:$P$43,2,FALSE),0))</f>
        <v>0</v>
      </c>
      <c r="M11" s="28">
        <f>IF(AND('Basic inputs'!$D$29&lt;VLOOKUP('Basic inputs'!$D$17,'Calculations (INTERNAL)'!$J$33:$L$40,3,FALSE),SUM('Basic inputs'!$D$22,'Basic inputs'!$D$23,'Basic inputs'!$D$24)&gt;0),110*VLOOKUP('Budget (Base)'!M5,'Calculations (INTERNAL)'!$O$32:$P$43,2,FALSE), IF('Basic inputs'!$D$29&lt;VLOOKUP('Basic inputs'!$D$17,'Calculations (INTERNAL)'!$J$33:$L$40,3,FALSE),100.83*VLOOKUP('Budget (Base)'!M5,'Calculations (INTERNAL)'!$O$32:$P$43,2,FALSE),0))</f>
        <v>0</v>
      </c>
      <c r="N11" s="28">
        <f>IF(AND('Basic inputs'!$D$29&lt;VLOOKUP('Basic inputs'!$D$17,'Calculations (INTERNAL)'!$J$33:$L$40,3,FALSE),SUM('Basic inputs'!$D$22,'Basic inputs'!$D$23,'Basic inputs'!$D$24)&gt;0),110*VLOOKUP('Budget (Base)'!N5,'Calculations (INTERNAL)'!$O$32:$P$43,2,FALSE), IF('Basic inputs'!$D$29&lt;VLOOKUP('Basic inputs'!$D$17,'Calculations (INTERNAL)'!$J$33:$L$40,3,FALSE),100.83*VLOOKUP('Budget (Base)'!N5,'Calculations (INTERNAL)'!$O$32:$P$43,2,FALSE),0))</f>
        <v>110</v>
      </c>
      <c r="O11" s="28">
        <f>IF(AND('Basic inputs'!$D$29&lt;VLOOKUP('Basic inputs'!$D$17,'Calculations (INTERNAL)'!$J$33:$L$40,3,FALSE),SUM('Basic inputs'!$D$22,'Basic inputs'!$D$23,'Basic inputs'!$D$24)&gt;0),110*VLOOKUP('Budget (Base)'!O5,'Calculations (INTERNAL)'!$O$32:$P$43,2,FALSE), IF('Basic inputs'!$D$29&lt;VLOOKUP('Basic inputs'!$D$17,'Calculations (INTERNAL)'!$J$33:$L$40,3,FALSE),100.83*VLOOKUP('Budget (Base)'!O5,'Calculations (INTERNAL)'!$O$32:$P$43,2,FALSE),0))</f>
        <v>110</v>
      </c>
      <c r="P11" s="63"/>
      <c r="Q11" s="28">
        <f>IF(AND('Basic inputs'!$D$29&lt;VLOOKUP('Basic inputs'!$D$17,'Calculations (INTERNAL)'!$J$33:$L$40,3,FALSE),SUM('Basic inputs'!$D$22,'Basic inputs'!$D$23,'Basic inputs'!$D$24)&gt;0),110*VLOOKUP('Budget (Base)'!Q5,'Calculations (INTERNAL)'!$O$32:$P$43,2,FALSE), IF('Basic inputs'!$D$29&lt;VLOOKUP('Basic inputs'!$D$17,'Calculations (INTERNAL)'!$J$33:$L$40,3,FALSE),100.83*VLOOKUP('Budget (Base)'!Q5,'Calculations (INTERNAL)'!$O$32:$P$43,2,FALSE),0))</f>
        <v>110</v>
      </c>
      <c r="R11" s="28">
        <f>IF(AND('Basic inputs'!$D$29&lt;VLOOKUP('Basic inputs'!$D$17,'Calculations (INTERNAL)'!$J$33:$L$40,3,FALSE),SUM('Basic inputs'!$D$22,'Basic inputs'!$D$23,'Basic inputs'!$D$24)&gt;0),110*VLOOKUP('Budget (Base)'!R5,'Calculations (INTERNAL)'!$O$32:$P$43,2,FALSE), IF('Basic inputs'!$D$29&lt;VLOOKUP('Basic inputs'!$D$17,'Calculations (INTERNAL)'!$J$33:$L$40,3,FALSE),100.83*VLOOKUP('Budget (Base)'!R5,'Calculations (INTERNAL)'!$O$32:$P$43,2,FALSE),0))</f>
        <v>110</v>
      </c>
      <c r="S11" s="28">
        <f>IF(AND('Basic inputs'!$D$29&lt;VLOOKUP('Basic inputs'!$D$17,'Calculations (INTERNAL)'!$J$33:$L$40,3,FALSE),SUM('Basic inputs'!$D$22,'Basic inputs'!$D$23,'Basic inputs'!$D$24)&gt;0),110*VLOOKUP('Budget (Base)'!S5,'Calculations (INTERNAL)'!$O$32:$P$43,2,FALSE), IF('Basic inputs'!$D$29&lt;VLOOKUP('Basic inputs'!$D$17,'Calculations (INTERNAL)'!$J$33:$L$40,3,FALSE),100.83*VLOOKUP('Budget (Base)'!S5,'Calculations (INTERNAL)'!$O$32:$P$43,2,FALSE),0))</f>
        <v>110</v>
      </c>
      <c r="T11" s="28">
        <f>IF(AND('Basic inputs'!$D$29&lt;VLOOKUP('Basic inputs'!$D$17,'Calculations (INTERNAL)'!$J$33:$L$40,3,FALSE),SUM('Basic inputs'!$D$22,'Basic inputs'!$D$23,'Basic inputs'!$D$24)&gt;0),110*VLOOKUP('Budget (Base)'!T5,'Calculations (INTERNAL)'!$O$32:$P$43,2,FALSE), IF('Basic inputs'!$D$29&lt;VLOOKUP('Basic inputs'!$D$17,'Calculations (INTERNAL)'!$J$33:$L$40,3,FALSE),100.83*VLOOKUP('Budget (Base)'!T5,'Calculations (INTERNAL)'!$O$32:$P$43,2,FALSE),0))</f>
        <v>110</v>
      </c>
      <c r="U11" s="28">
        <f>IF(AND('Basic inputs'!$D$29&lt;VLOOKUP('Basic inputs'!$D$17,'Calculations (INTERNAL)'!$J$33:$L$40,3,FALSE),SUM('Basic inputs'!$D$22,'Basic inputs'!$D$23,'Basic inputs'!$D$24)&gt;0),110*VLOOKUP('Budget (Base)'!U5,'Calculations (INTERNAL)'!$O$32:$P$43,2,FALSE), IF('Basic inputs'!$D$29&lt;VLOOKUP('Basic inputs'!$D$17,'Calculations (INTERNAL)'!$J$33:$L$40,3,FALSE),100.83*VLOOKUP('Budget (Base)'!U5,'Calculations (INTERNAL)'!$O$32:$P$43,2,FALSE),0))</f>
        <v>0</v>
      </c>
      <c r="V11" s="28">
        <f>IF(AND('Basic inputs'!$D$29&lt;VLOOKUP('Basic inputs'!$D$17,'Calculations (INTERNAL)'!$J$33:$L$40,3,FALSE),SUM('Basic inputs'!$D$22,'Basic inputs'!$D$23,'Basic inputs'!$D$24)&gt;0),110*VLOOKUP('Budget (Base)'!V5,'Calculations (INTERNAL)'!$O$32:$P$43,2,FALSE), IF('Basic inputs'!$D$29&lt;VLOOKUP('Basic inputs'!$D$17,'Calculations (INTERNAL)'!$J$33:$L$40,3,FALSE),100.83*VLOOKUP('Budget (Base)'!V5,'Calculations (INTERNAL)'!$O$32:$P$43,2,FALSE),0))</f>
        <v>0</v>
      </c>
      <c r="W11" s="28">
        <f>IF(AND('Basic inputs'!$D$29&lt;VLOOKUP('Basic inputs'!$D$17,'Calculations (INTERNAL)'!$J$33:$L$40,3,FALSE),SUM('Basic inputs'!$D$22,'Basic inputs'!$D$23,'Basic inputs'!$D$24)&gt;0),110*VLOOKUP('Budget (Base)'!W5,'Calculations (INTERNAL)'!$O$32:$P$43,2,FALSE), IF('Basic inputs'!$D$29&lt;VLOOKUP('Basic inputs'!$D$17,'Calculations (INTERNAL)'!$J$33:$L$40,3,FALSE),100.83*VLOOKUP('Budget (Base)'!W5,'Calculations (INTERNAL)'!$O$32:$P$43,2,FALSE),0))</f>
        <v>0</v>
      </c>
      <c r="X11" s="28">
        <f>IF(AND('Basic inputs'!$D$29&lt;VLOOKUP('Basic inputs'!$D$17,'Calculations (INTERNAL)'!$J$33:$L$40,3,FALSE),SUM('Basic inputs'!$D$22,'Basic inputs'!$D$23,'Basic inputs'!$D$24)&gt;0),110*VLOOKUP('Budget (Base)'!X5,'Calculations (INTERNAL)'!$O$32:$P$43,2,FALSE), IF('Basic inputs'!$D$29&lt;VLOOKUP('Basic inputs'!$D$17,'Calculations (INTERNAL)'!$J$33:$L$40,3,FALSE),100.83*VLOOKUP('Budget (Base)'!X5,'Calculations (INTERNAL)'!$O$32:$P$43,2,FALSE),0))</f>
        <v>0</v>
      </c>
      <c r="Y11" s="28">
        <f>IF(AND('Basic inputs'!$D$29&lt;VLOOKUP('Basic inputs'!$D$17,'Calculations (INTERNAL)'!$J$33:$L$40,3,FALSE),SUM('Basic inputs'!$D$22,'Basic inputs'!$D$23,'Basic inputs'!$D$24)&gt;0),110*VLOOKUP('Budget (Base)'!Y5,'Calculations (INTERNAL)'!$O$32:$P$43,2,FALSE), IF('Basic inputs'!$D$29&lt;VLOOKUP('Basic inputs'!$D$17,'Calculations (INTERNAL)'!$J$33:$L$40,3,FALSE),100.83*VLOOKUP('Budget (Base)'!Y5,'Calculations (INTERNAL)'!$O$32:$P$43,2,FALSE),0))</f>
        <v>0</v>
      </c>
      <c r="Z11" s="28">
        <f>IF(AND('Basic inputs'!$D$29&lt;VLOOKUP('Basic inputs'!$D$17,'Calculations (INTERNAL)'!$J$33:$L$40,3,FALSE),SUM('Basic inputs'!$D$22,'Basic inputs'!$D$23,'Basic inputs'!$D$24)&gt;0),110*VLOOKUP('Budget (Base)'!Z5,'Calculations (INTERNAL)'!$O$32:$P$43,2,FALSE), IF('Basic inputs'!$D$29&lt;VLOOKUP('Basic inputs'!$D$17,'Calculations (INTERNAL)'!$J$33:$L$40,3,FALSE),100.83*VLOOKUP('Budget (Base)'!Z5,'Calculations (INTERNAL)'!$O$32:$P$43,2,FALSE),0))</f>
        <v>0</v>
      </c>
      <c r="AA11" s="28">
        <f>IF(AND('Basic inputs'!$D$29&lt;VLOOKUP('Basic inputs'!$D$17,'Calculations (INTERNAL)'!$J$33:$L$40,3,FALSE),SUM('Basic inputs'!$D$22,'Basic inputs'!$D$23,'Basic inputs'!$D$24)&gt;0),110*VLOOKUP('Budget (Base)'!AA5,'Calculations (INTERNAL)'!$O$32:$P$43,2,FALSE), IF('Basic inputs'!$D$29&lt;VLOOKUP('Basic inputs'!$D$17,'Calculations (INTERNAL)'!$J$33:$L$40,3,FALSE),100.83*VLOOKUP('Budget (Base)'!AA5,'Calculations (INTERNAL)'!$O$32:$P$43,2,FALSE),0))</f>
        <v>110</v>
      </c>
      <c r="AB11" s="28">
        <f>IF(AND('Basic inputs'!$D$29&lt;VLOOKUP('Basic inputs'!$D$17,'Calculations (INTERNAL)'!$J$33:$L$40,3,FALSE),SUM('Basic inputs'!$D$22,'Basic inputs'!$D$23,'Basic inputs'!$D$24)&gt;0),110*VLOOKUP('Budget (Base)'!AB5,'Calculations (INTERNAL)'!$O$32:$P$43,2,FALSE), IF('Basic inputs'!$D$29&lt;VLOOKUP('Basic inputs'!$D$17,'Calculations (INTERNAL)'!$J$33:$L$40,3,FALSE),100.83*VLOOKUP('Budget (Base)'!AB5,'Calculations (INTERNAL)'!$O$32:$P$43,2,FALSE),0))</f>
        <v>110</v>
      </c>
      <c r="AC11" s="63"/>
      <c r="AD11" s="28">
        <f>IF(AND('Basic inputs'!$D$29&lt;VLOOKUP('Basic inputs'!$D$17,'Calculations (INTERNAL)'!$J$33:$L$40,3,FALSE),SUM('Basic inputs'!$D$22,'Basic inputs'!$D$23,'Basic inputs'!$D$24)&gt;0),110*VLOOKUP('Budget (Base)'!AD5,'Calculations (INTERNAL)'!$O$32:$P$43,2,FALSE), IF('Basic inputs'!$D$29&lt;VLOOKUP('Basic inputs'!$D$17,'Calculations (INTERNAL)'!$J$33:$L$40,3,FALSE),100.83*VLOOKUP('Budget (Base)'!AD5,'Calculations (INTERNAL)'!$O$32:$P$43,2,FALSE),0))</f>
        <v>110</v>
      </c>
      <c r="AE11" s="28">
        <f>IF(AND('Basic inputs'!$D$29&lt;VLOOKUP('Basic inputs'!$D$17,'Calculations (INTERNAL)'!$J$33:$L$40,3,FALSE),SUM('Basic inputs'!$D$22,'Basic inputs'!$D$23,'Basic inputs'!$D$24)&gt;0),110*VLOOKUP('Budget (Base)'!AE5,'Calculations (INTERNAL)'!$O$32:$P$43,2,FALSE), IF('Basic inputs'!$D$29&lt;VLOOKUP('Basic inputs'!$D$17,'Calculations (INTERNAL)'!$J$33:$L$40,3,FALSE),100.83*VLOOKUP('Budget (Base)'!AE5,'Calculations (INTERNAL)'!$O$32:$P$43,2,FALSE),0))</f>
        <v>110</v>
      </c>
      <c r="AF11" s="28">
        <f>IF(AND('Basic inputs'!$D$29&lt;VLOOKUP('Basic inputs'!$D$17,'Calculations (INTERNAL)'!$J$33:$L$40,3,FALSE),SUM('Basic inputs'!$D$22,'Basic inputs'!$D$23,'Basic inputs'!$D$24)&gt;0),110*VLOOKUP('Budget (Base)'!AF5,'Calculations (INTERNAL)'!$O$32:$P$43,2,FALSE), IF('Basic inputs'!$D$29&lt;VLOOKUP('Basic inputs'!$D$17,'Calculations (INTERNAL)'!$J$33:$L$40,3,FALSE),100.83*VLOOKUP('Budget (Base)'!AF5,'Calculations (INTERNAL)'!$O$32:$P$43,2,FALSE),0))</f>
        <v>110</v>
      </c>
      <c r="AG11" s="28">
        <f>IF(AND('Basic inputs'!$D$29&lt;VLOOKUP('Basic inputs'!$D$17,'Calculations (INTERNAL)'!$J$33:$L$40,3,FALSE),SUM('Basic inputs'!$D$22,'Basic inputs'!$D$23,'Basic inputs'!$D$24)&gt;0),110*VLOOKUP('Budget (Base)'!AG5,'Calculations (INTERNAL)'!$O$32:$P$43,2,FALSE), IF('Basic inputs'!$D$29&lt;VLOOKUP('Basic inputs'!$D$17,'Calculations (INTERNAL)'!$J$33:$L$40,3,FALSE),100.83*VLOOKUP('Budget (Base)'!AG5,'Calculations (INTERNAL)'!$O$32:$P$43,2,FALSE),0))</f>
        <v>110</v>
      </c>
      <c r="AH11" s="28">
        <f>IF(AND('Basic inputs'!$D$29&lt;VLOOKUP('Basic inputs'!$D$17,'Calculations (INTERNAL)'!$J$33:$L$40,3,FALSE),SUM('Basic inputs'!$D$22,'Basic inputs'!$D$23,'Basic inputs'!$D$24)&gt;0),110*VLOOKUP('Budget (Base)'!AH5,'Calculations (INTERNAL)'!$O$32:$P$43,2,FALSE), IF('Basic inputs'!$D$29&lt;VLOOKUP('Basic inputs'!$D$17,'Calculations (INTERNAL)'!$J$33:$L$40,3,FALSE),100.83*VLOOKUP('Budget (Base)'!AH5,'Calculations (INTERNAL)'!$O$32:$P$43,2,FALSE),0))</f>
        <v>0</v>
      </c>
      <c r="AI11" s="28">
        <f>IF(AND('Basic inputs'!$D$29&lt;VLOOKUP('Basic inputs'!$D$17,'Calculations (INTERNAL)'!$J$33:$L$40,3,FALSE),SUM('Basic inputs'!$D$22,'Basic inputs'!$D$23,'Basic inputs'!$D$24)&gt;0),110*VLOOKUP('Budget (Base)'!AI5,'Calculations (INTERNAL)'!$O$32:$P$43,2,FALSE), IF('Basic inputs'!$D$29&lt;VLOOKUP('Basic inputs'!$D$17,'Calculations (INTERNAL)'!$J$33:$L$40,3,FALSE),100.83*VLOOKUP('Budget (Base)'!AI5,'Calculations (INTERNAL)'!$O$32:$P$43,2,FALSE),0))</f>
        <v>0</v>
      </c>
      <c r="AJ11" s="28">
        <f>IF(AND('Basic inputs'!$D$29&lt;VLOOKUP('Basic inputs'!$D$17,'Calculations (INTERNAL)'!$J$33:$L$40,3,FALSE),SUM('Basic inputs'!$D$22,'Basic inputs'!$D$23,'Basic inputs'!$D$24)&gt;0),110*VLOOKUP('Budget (Base)'!AJ5,'Calculations (INTERNAL)'!$O$32:$P$43,2,FALSE), IF('Basic inputs'!$D$29&lt;VLOOKUP('Basic inputs'!$D$17,'Calculations (INTERNAL)'!$J$33:$L$40,3,FALSE),100.83*VLOOKUP('Budget (Base)'!AJ5,'Calculations (INTERNAL)'!$O$32:$P$43,2,FALSE),0))</f>
        <v>0</v>
      </c>
      <c r="AK11" s="28">
        <f>IF(AND('Basic inputs'!$D$29&lt;VLOOKUP('Basic inputs'!$D$17,'Calculations (INTERNAL)'!$J$33:$L$40,3,FALSE),SUM('Basic inputs'!$D$22,'Basic inputs'!$D$23,'Basic inputs'!$D$24)&gt;0),110*VLOOKUP('Budget (Base)'!AK5,'Calculations (INTERNAL)'!$O$32:$P$43,2,FALSE), IF('Basic inputs'!$D$29&lt;VLOOKUP('Basic inputs'!$D$17,'Calculations (INTERNAL)'!$J$33:$L$40,3,FALSE),100.83*VLOOKUP('Budget (Base)'!AK5,'Calculations (INTERNAL)'!$O$32:$P$43,2,FALSE),0))</f>
        <v>0</v>
      </c>
      <c r="AL11" s="28">
        <f>IF(AND('Basic inputs'!$D$29&lt;VLOOKUP('Basic inputs'!$D$17,'Calculations (INTERNAL)'!$J$33:$L$40,3,FALSE),SUM('Basic inputs'!$D$22,'Basic inputs'!$D$23,'Basic inputs'!$D$24)&gt;0),110*VLOOKUP('Budget (Base)'!AL5,'Calculations (INTERNAL)'!$O$32:$P$43,2,FALSE), IF('Basic inputs'!$D$29&lt;VLOOKUP('Basic inputs'!$D$17,'Calculations (INTERNAL)'!$J$33:$L$40,3,FALSE),100.83*VLOOKUP('Budget (Base)'!AL5,'Calculations (INTERNAL)'!$O$32:$P$43,2,FALSE),0))</f>
        <v>0</v>
      </c>
      <c r="AM11" s="28">
        <f>IF(AND('Basic inputs'!$D$29&lt;VLOOKUP('Basic inputs'!$D$17,'Calculations (INTERNAL)'!$J$33:$L$40,3,FALSE),SUM('Basic inputs'!$D$22,'Basic inputs'!$D$23,'Basic inputs'!$D$24)&gt;0),110*VLOOKUP('Budget (Base)'!AM5,'Calculations (INTERNAL)'!$O$32:$P$43,2,FALSE), IF('Basic inputs'!$D$29&lt;VLOOKUP('Basic inputs'!$D$17,'Calculations (INTERNAL)'!$J$33:$L$40,3,FALSE),100.83*VLOOKUP('Budget (Base)'!AM5,'Calculations (INTERNAL)'!$O$32:$P$43,2,FALSE),0))</f>
        <v>0</v>
      </c>
      <c r="AN11" s="28">
        <f>IF(AND('Basic inputs'!$D$29&lt;VLOOKUP('Basic inputs'!$D$17,'Calculations (INTERNAL)'!$J$33:$L$40,3,FALSE),SUM('Basic inputs'!$D$22,'Basic inputs'!$D$23,'Basic inputs'!$D$24)&gt;0),110*VLOOKUP('Budget (Base)'!AN5,'Calculations (INTERNAL)'!$O$32:$P$43,2,FALSE), IF('Basic inputs'!$D$29&lt;VLOOKUP('Basic inputs'!$D$17,'Calculations (INTERNAL)'!$J$33:$L$40,3,FALSE),100.83*VLOOKUP('Budget (Base)'!AN5,'Calculations (INTERNAL)'!$O$32:$P$43,2,FALSE),0))</f>
        <v>110</v>
      </c>
      <c r="AO11" s="28">
        <f>IF(AND('Basic inputs'!$D$29&lt;VLOOKUP('Basic inputs'!$D$17,'Calculations (INTERNAL)'!$J$33:$L$40,3,FALSE),SUM('Basic inputs'!$D$22,'Basic inputs'!$D$23,'Basic inputs'!$D$24)&gt;0),110*VLOOKUP('Budget (Base)'!AO5,'Calculations (INTERNAL)'!$O$32:$P$43,2,FALSE), IF('Basic inputs'!$D$29&lt;VLOOKUP('Basic inputs'!$D$17,'Calculations (INTERNAL)'!$J$33:$L$40,3,FALSE),100.83*VLOOKUP('Budget (Base)'!AO5,'Calculations (INTERNAL)'!$O$32:$P$43,2,FALSE),0))</f>
        <v>110</v>
      </c>
    </row>
    <row r="12" spans="1:43" ht="14.1" customHeight="1">
      <c r="B12" s="25" t="s">
        <v>306</v>
      </c>
      <c r="C12" s="48"/>
      <c r="D12" s="28" t="str">
        <f>IF(D4&lt;=36,'Calculations (INTERNAL)'!$G$75,0)</f>
        <v>$   760</v>
      </c>
      <c r="E12" s="28" t="str">
        <f>IF(E4&lt;=36,'Calculations (INTERNAL)'!$G$75,0)</f>
        <v>$   760</v>
      </c>
      <c r="F12" s="28" t="str">
        <f>IF(F4&lt;=36,'Calculations (INTERNAL)'!$G$75,0)</f>
        <v>$   760</v>
      </c>
      <c r="G12" s="28" t="str">
        <f>IF(G4&lt;=36,'Calculations (INTERNAL)'!$G$75,0)</f>
        <v>$   760</v>
      </c>
      <c r="H12" s="28" t="str">
        <f>IF(H4&lt;=36,'Calculations (INTERNAL)'!$G$75,0)</f>
        <v>$   760</v>
      </c>
      <c r="I12" s="28" t="str">
        <f>IF(I4&lt;=36,'Calculations (INTERNAL)'!$G$75,0)</f>
        <v>$   760</v>
      </c>
      <c r="J12" s="28" t="str">
        <f>IF(J4&lt;=36,'Calculations (INTERNAL)'!$G$75,0)</f>
        <v>$   760</v>
      </c>
      <c r="K12" s="28" t="str">
        <f>IF(K4&lt;=36,'Calculations (INTERNAL)'!$G$75,0)</f>
        <v>$   760</v>
      </c>
      <c r="L12" s="28" t="str">
        <f>IF(L4&lt;=36,'Calculations (INTERNAL)'!$G$75,0)</f>
        <v>$   760</v>
      </c>
      <c r="M12" s="28" t="str">
        <f>IF(M4&lt;=36,'Calculations (INTERNAL)'!$G$75,0)</f>
        <v>$   760</v>
      </c>
      <c r="N12" s="28" t="str">
        <f>IF(N4&lt;=36,'Calculations (INTERNAL)'!$G$75,0)</f>
        <v>$   760</v>
      </c>
      <c r="O12" s="28" t="str">
        <f>IF(O4&lt;=36,'Calculations (INTERNAL)'!$G$75,0)</f>
        <v>$   760</v>
      </c>
      <c r="P12" s="63"/>
      <c r="Q12" s="28" t="str">
        <f>IF(Q4&lt;=36,'Calculations (INTERNAL)'!$G$75,0)</f>
        <v>$   760</v>
      </c>
      <c r="R12" s="28" t="str">
        <f>IF(R4&lt;=36,'Calculations (INTERNAL)'!$G$75,0)</f>
        <v>$   760</v>
      </c>
      <c r="S12" s="28" t="str">
        <f>IF(S4&lt;=36,'Calculations (INTERNAL)'!$G$75,0)</f>
        <v>$   760</v>
      </c>
      <c r="T12" s="28" t="str">
        <f>IF(T4&lt;=36,'Calculations (INTERNAL)'!$G$75,0)</f>
        <v>$   760</v>
      </c>
      <c r="U12" s="28" t="str">
        <f>IF(U4&lt;=36,'Calculations (INTERNAL)'!$G$75,0)</f>
        <v>$   760</v>
      </c>
      <c r="V12" s="28" t="str">
        <f>IF(V4&lt;=36,'Calculations (INTERNAL)'!$G$75,0)</f>
        <v>$   760</v>
      </c>
      <c r="W12" s="28" t="str">
        <f>IF(W4&lt;=36,'Calculations (INTERNAL)'!$G$75,0)</f>
        <v>$   760</v>
      </c>
      <c r="X12" s="28" t="str">
        <f>IF(X4&lt;=36,'Calculations (INTERNAL)'!$G$75,0)</f>
        <v>$   760</v>
      </c>
      <c r="Y12" s="28" t="str">
        <f>IF(Y4&lt;=36,'Calculations (INTERNAL)'!$G$75,0)</f>
        <v>$   760</v>
      </c>
      <c r="Z12" s="28" t="str">
        <f>IF(Z4&lt;=36,'Calculations (INTERNAL)'!$G$75,0)</f>
        <v>$   760</v>
      </c>
      <c r="AA12" s="28" t="str">
        <f>IF(AA4&lt;=36,'Calculations (INTERNAL)'!$G$75,0)</f>
        <v>$   760</v>
      </c>
      <c r="AB12" s="28" t="str">
        <f>IF(AB4&lt;=36,'Calculations (INTERNAL)'!$G$75,0)</f>
        <v>$   760</v>
      </c>
      <c r="AC12" s="63"/>
      <c r="AD12" s="28" t="str">
        <f>IF(AD4&lt;=36,'Calculations (INTERNAL)'!$G$75,0)</f>
        <v>$   760</v>
      </c>
      <c r="AE12" s="28" t="str">
        <f>IF(AE4&lt;=36,'Calculations (INTERNAL)'!$G$75,0)</f>
        <v>$   760</v>
      </c>
      <c r="AF12" s="28" t="str">
        <f>IF(AF4&lt;=36,'Calculations (INTERNAL)'!$G$75,0)</f>
        <v>$   760</v>
      </c>
      <c r="AG12" s="28" t="str">
        <f>IF(AG4&lt;=36,'Calculations (INTERNAL)'!$G$75,0)</f>
        <v>$   760</v>
      </c>
      <c r="AH12" s="28" t="str">
        <f>IF(AH4&lt;=36,'Calculations (INTERNAL)'!$G$75,0)</f>
        <v>$   760</v>
      </c>
      <c r="AI12" s="28" t="str">
        <f>IF(AI4&lt;=36,'Calculations (INTERNAL)'!$G$75,0)</f>
        <v>$   760</v>
      </c>
      <c r="AJ12" s="28" t="str">
        <f>IF(AJ4&lt;=36,'Calculations (INTERNAL)'!$G$75,0)</f>
        <v>$   760</v>
      </c>
      <c r="AK12" s="28" t="str">
        <f>IF(AK4&lt;=36,'Calculations (INTERNAL)'!$G$75,0)</f>
        <v>$   760</v>
      </c>
      <c r="AL12" s="28" t="str">
        <f>IF(AL4&lt;=36,'Calculations (INTERNAL)'!$G$75,0)</f>
        <v>$   760</v>
      </c>
      <c r="AM12" s="28" t="str">
        <f>IF(AM4&lt;=36,'Calculations (INTERNAL)'!$G$75,0)</f>
        <v>$   760</v>
      </c>
      <c r="AN12" s="28" t="str">
        <f>IF(AN4&lt;=36,'Calculations (INTERNAL)'!$G$75,0)</f>
        <v>$   760</v>
      </c>
      <c r="AO12" s="28" t="str">
        <f>IF(AO4&lt;=36,'Calculations (INTERNAL)'!$G$75,0)</f>
        <v>$   760</v>
      </c>
    </row>
    <row r="13" spans="1:43" ht="9.9499999999999993" hidden="1" customHeight="1">
      <c r="A13" s="33"/>
      <c r="B13" s="30" t="s">
        <v>331</v>
      </c>
      <c r="C13" s="59"/>
      <c r="D13" s="29">
        <f>D17</f>
        <v>1800</v>
      </c>
      <c r="E13" s="29">
        <f>0.5*E17</f>
        <v>900</v>
      </c>
      <c r="F13" s="29">
        <v>0</v>
      </c>
      <c r="G13" s="29">
        <v>0</v>
      </c>
      <c r="H13" s="29">
        <v>0</v>
      </c>
      <c r="I13" s="29">
        <v>0</v>
      </c>
      <c r="J13" s="29">
        <v>0</v>
      </c>
      <c r="K13" s="29">
        <v>0</v>
      </c>
      <c r="L13" s="29">
        <v>0</v>
      </c>
      <c r="M13" s="29">
        <v>0</v>
      </c>
      <c r="N13" s="29">
        <v>0</v>
      </c>
      <c r="O13" s="29">
        <v>0</v>
      </c>
      <c r="P13" s="64"/>
      <c r="Q13" s="29">
        <v>0</v>
      </c>
      <c r="R13" s="29">
        <v>0</v>
      </c>
      <c r="S13" s="29">
        <v>0</v>
      </c>
      <c r="T13" s="29">
        <v>0</v>
      </c>
      <c r="U13" s="29">
        <v>0</v>
      </c>
      <c r="V13" s="29">
        <v>0</v>
      </c>
      <c r="W13" s="29">
        <v>0</v>
      </c>
      <c r="X13" s="29">
        <v>0</v>
      </c>
      <c r="Y13" s="29">
        <v>0</v>
      </c>
      <c r="Z13" s="29">
        <v>0</v>
      </c>
      <c r="AA13" s="29">
        <v>0</v>
      </c>
      <c r="AB13" s="29">
        <v>0</v>
      </c>
      <c r="AC13" s="64"/>
      <c r="AD13" s="29">
        <v>0</v>
      </c>
      <c r="AE13" s="29">
        <v>0</v>
      </c>
      <c r="AF13" s="29">
        <v>0</v>
      </c>
      <c r="AG13" s="29">
        <v>0</v>
      </c>
      <c r="AH13" s="29">
        <v>0</v>
      </c>
      <c r="AI13" s="29">
        <v>0</v>
      </c>
      <c r="AJ13" s="29">
        <v>0</v>
      </c>
      <c r="AK13" s="29">
        <v>0</v>
      </c>
      <c r="AL13" s="29">
        <v>0</v>
      </c>
      <c r="AM13" s="29">
        <v>0</v>
      </c>
      <c r="AN13" s="29">
        <v>0</v>
      </c>
      <c r="AO13" s="29">
        <v>0</v>
      </c>
    </row>
    <row r="14" spans="1:43" ht="9.9499999999999993" hidden="1" customHeight="1">
      <c r="A14" s="33"/>
      <c r="B14" s="30" t="s">
        <v>332</v>
      </c>
      <c r="C14" s="59"/>
      <c r="D14" s="29">
        <v>0</v>
      </c>
      <c r="E14" s="29">
        <f t="shared" ref="E14:AO14" si="0">0.5*E8</f>
        <v>401.5</v>
      </c>
      <c r="F14" s="29">
        <f t="shared" si="0"/>
        <v>401.5</v>
      </c>
      <c r="G14" s="29">
        <f t="shared" si="0"/>
        <v>401.5</v>
      </c>
      <c r="H14" s="29">
        <f t="shared" si="0"/>
        <v>401.5</v>
      </c>
      <c r="I14" s="29">
        <f t="shared" si="0"/>
        <v>401.5</v>
      </c>
      <c r="J14" s="29">
        <f t="shared" si="0"/>
        <v>401.5</v>
      </c>
      <c r="K14" s="29">
        <f t="shared" si="0"/>
        <v>401.5</v>
      </c>
      <c r="L14" s="29">
        <f t="shared" si="0"/>
        <v>401.5</v>
      </c>
      <c r="M14" s="29">
        <f t="shared" si="0"/>
        <v>401.5</v>
      </c>
      <c r="N14" s="29">
        <f t="shared" si="0"/>
        <v>401.5</v>
      </c>
      <c r="O14" s="29">
        <f t="shared" si="0"/>
        <v>401.5</v>
      </c>
      <c r="P14" s="64"/>
      <c r="Q14" s="29">
        <f t="shared" si="0"/>
        <v>401.5</v>
      </c>
      <c r="R14" s="29">
        <f t="shared" si="0"/>
        <v>401.5</v>
      </c>
      <c r="S14" s="29">
        <f t="shared" si="0"/>
        <v>401.5</v>
      </c>
      <c r="T14" s="29">
        <f t="shared" si="0"/>
        <v>401.5</v>
      </c>
      <c r="U14" s="29">
        <f t="shared" si="0"/>
        <v>401.5</v>
      </c>
      <c r="V14" s="29">
        <f t="shared" si="0"/>
        <v>401.5</v>
      </c>
      <c r="W14" s="29">
        <f t="shared" si="0"/>
        <v>401.5</v>
      </c>
      <c r="X14" s="29">
        <f t="shared" si="0"/>
        <v>401.5</v>
      </c>
      <c r="Y14" s="29">
        <f t="shared" si="0"/>
        <v>401.5</v>
      </c>
      <c r="Z14" s="29">
        <f t="shared" si="0"/>
        <v>0</v>
      </c>
      <c r="AA14" s="29">
        <f t="shared" si="0"/>
        <v>0</v>
      </c>
      <c r="AB14" s="29">
        <f t="shared" si="0"/>
        <v>0</v>
      </c>
      <c r="AC14" s="64"/>
      <c r="AD14" s="29">
        <f t="shared" si="0"/>
        <v>0</v>
      </c>
      <c r="AE14" s="29">
        <f t="shared" si="0"/>
        <v>0</v>
      </c>
      <c r="AF14" s="29">
        <f t="shared" si="0"/>
        <v>0</v>
      </c>
      <c r="AG14" s="29">
        <f t="shared" si="0"/>
        <v>0</v>
      </c>
      <c r="AH14" s="29">
        <f t="shared" si="0"/>
        <v>0</v>
      </c>
      <c r="AI14" s="29">
        <f t="shared" si="0"/>
        <v>0</v>
      </c>
      <c r="AJ14" s="29">
        <f t="shared" si="0"/>
        <v>0</v>
      </c>
      <c r="AK14" s="29">
        <f t="shared" si="0"/>
        <v>0</v>
      </c>
      <c r="AL14" s="29">
        <f t="shared" si="0"/>
        <v>0</v>
      </c>
      <c r="AM14" s="29">
        <f t="shared" si="0"/>
        <v>0</v>
      </c>
      <c r="AN14" s="29">
        <f t="shared" si="0"/>
        <v>0</v>
      </c>
      <c r="AO14" s="29">
        <f t="shared" si="0"/>
        <v>0</v>
      </c>
    </row>
    <row r="15" spans="1:43" s="51" customFormat="1">
      <c r="A15" s="31"/>
      <c r="B15" s="25" t="s">
        <v>311</v>
      </c>
      <c r="C15" s="48"/>
      <c r="D15" s="28">
        <f>IF(D4&lt;='Basic inputs'!$D$25,'Budget (Base)'!D17-'Budget (Base)'!D13-'Budget (Base)'!D14,IF('Budget (Base)'!D17&gt;VLOOKUP('Basic inputs'!$E$37,'Calculations (INTERNAL)'!$J$24:$K$27,2,FALSE),'Budget (Base)'!D17-VLOOKUP('Basic inputs'!$E$37,'Calculations (INTERNAL)'!$J$24:$K$27,2,FALSE),0))</f>
        <v>0</v>
      </c>
      <c r="E15" s="28">
        <f>IF(E4&lt;='Basic inputs'!$D$25,'Budget (Base)'!E17-'Budget (Base)'!E13-'Budget (Base)'!E14,IF('Budget (Base)'!E17&gt;VLOOKUP('Basic inputs'!$E$37,'Calculations (INTERNAL)'!$J$24:$K$27,2,FALSE),'Budget (Base)'!E17-VLOOKUP('Basic inputs'!$E$37,'Calculations (INTERNAL)'!$J$24:$K$27,2,FALSE),0))</f>
        <v>498.5</v>
      </c>
      <c r="F15" s="28">
        <f>IF(F4&lt;='Basic inputs'!$D$25,'Budget (Base)'!F17-'Budget (Base)'!F13-'Budget (Base)'!F14,IF('Budget (Base)'!F17&gt;VLOOKUP('Basic inputs'!$E$37,'Calculations (INTERNAL)'!$J$24:$K$27,2,FALSE),'Budget (Base)'!F17-VLOOKUP('Basic inputs'!$E$37,'Calculations (INTERNAL)'!$J$24:$K$27,2,FALSE),0))</f>
        <v>1398.5</v>
      </c>
      <c r="G15" s="28">
        <f>IF(G4&lt;='Basic inputs'!$D$25,'Budget (Base)'!G17-'Budget (Base)'!G13-'Budget (Base)'!G14,IF('Budget (Base)'!G17&gt;VLOOKUP('Basic inputs'!$E$37,'Calculations (INTERNAL)'!$J$24:$K$27,2,FALSE),'Budget (Base)'!G17-VLOOKUP('Basic inputs'!$E$37,'Calculations (INTERNAL)'!$J$24:$K$27,2,FALSE),0))</f>
        <v>500</v>
      </c>
      <c r="H15" s="28">
        <f>IF(H4&lt;='Basic inputs'!$D$25,'Budget (Base)'!H17-'Budget (Base)'!H13-'Budget (Base)'!H14,IF('Budget (Base)'!H17&gt;VLOOKUP('Basic inputs'!$E$37,'Calculations (INTERNAL)'!$J$24:$K$27,2,FALSE),'Budget (Base)'!H17-VLOOKUP('Basic inputs'!$E$37,'Calculations (INTERNAL)'!$J$24:$K$27,2,FALSE),0))</f>
        <v>500</v>
      </c>
      <c r="I15" s="28">
        <f>IF(I4&lt;='Basic inputs'!$D$25,'Budget (Base)'!I17-'Budget (Base)'!I13-'Budget (Base)'!I14,IF('Budget (Base)'!I17&gt;VLOOKUP('Basic inputs'!$E$37,'Calculations (INTERNAL)'!$J$24:$K$27,2,FALSE),'Budget (Base)'!I17-VLOOKUP('Basic inputs'!$E$37,'Calculations (INTERNAL)'!$J$24:$K$27,2,FALSE),0))</f>
        <v>500</v>
      </c>
      <c r="J15" s="28">
        <f>IF(J4&lt;='Basic inputs'!$D$25,'Budget (Base)'!J17-'Budget (Base)'!J13-'Budget (Base)'!J14,IF('Budget (Base)'!J17&gt;VLOOKUP('Basic inputs'!$E$37,'Calculations (INTERNAL)'!$J$24:$K$27,2,FALSE),'Budget (Base)'!J17-VLOOKUP('Basic inputs'!$E$37,'Calculations (INTERNAL)'!$J$24:$K$27,2,FALSE),0))</f>
        <v>500</v>
      </c>
      <c r="K15" s="28">
        <f>IF(K4&lt;='Basic inputs'!$D$25,'Budget (Base)'!K17-'Budget (Base)'!K13-'Budget (Base)'!K14,IF('Budget (Base)'!K17&gt;VLOOKUP('Basic inputs'!$E$37,'Calculations (INTERNAL)'!$J$24:$K$27,2,FALSE),'Budget (Base)'!K17-VLOOKUP('Basic inputs'!$E$37,'Calculations (INTERNAL)'!$J$24:$K$27,2,FALSE),0))</f>
        <v>500</v>
      </c>
      <c r="L15" s="28">
        <f>IF(L4&lt;='Basic inputs'!$D$25,'Budget (Base)'!L17-'Budget (Base)'!L13-'Budget (Base)'!L14,IF('Budget (Base)'!L17&gt;VLOOKUP('Basic inputs'!$E$37,'Calculations (INTERNAL)'!$J$24:$K$27,2,FALSE),'Budget (Base)'!L17-VLOOKUP('Basic inputs'!$E$37,'Calculations (INTERNAL)'!$J$24:$K$27,2,FALSE),0))</f>
        <v>500</v>
      </c>
      <c r="M15" s="28">
        <f>IF(M4&lt;='Basic inputs'!$D$25,'Budget (Base)'!M17-'Budget (Base)'!M13-'Budget (Base)'!M14,IF('Budget (Base)'!M17&gt;VLOOKUP('Basic inputs'!$E$37,'Calculations (INTERNAL)'!$J$24:$K$27,2,FALSE),'Budget (Base)'!M17-VLOOKUP('Basic inputs'!$E$37,'Calculations (INTERNAL)'!$J$24:$K$27,2,FALSE),0))</f>
        <v>500</v>
      </c>
      <c r="N15" s="28">
        <f>IF(N4&lt;='Basic inputs'!$D$25,'Budget (Base)'!N17-'Budget (Base)'!N13-'Budget (Base)'!N14,IF('Budget (Base)'!N17&gt;VLOOKUP('Basic inputs'!$E$37,'Calculations (INTERNAL)'!$J$24:$K$27,2,FALSE),'Budget (Base)'!N17-VLOOKUP('Basic inputs'!$E$37,'Calculations (INTERNAL)'!$J$24:$K$27,2,FALSE),0))</f>
        <v>500</v>
      </c>
      <c r="O15" s="28">
        <f>IF(O4&lt;='Basic inputs'!$D$25,'Budget (Base)'!O17-'Budget (Base)'!O13-'Budget (Base)'!O14,IF('Budget (Base)'!O17&gt;VLOOKUP('Basic inputs'!$E$37,'Calculations (INTERNAL)'!$J$24:$K$27,2,FALSE),'Budget (Base)'!O17-VLOOKUP('Basic inputs'!$E$37,'Calculations (INTERNAL)'!$J$24:$K$27,2,FALSE),0))</f>
        <v>500</v>
      </c>
      <c r="P15" s="63"/>
      <c r="Q15" s="28">
        <v>0</v>
      </c>
      <c r="R15" s="28">
        <v>0</v>
      </c>
      <c r="S15" s="28">
        <v>0</v>
      </c>
      <c r="T15" s="28">
        <v>0</v>
      </c>
      <c r="U15" s="28">
        <v>0</v>
      </c>
      <c r="V15" s="28">
        <v>0</v>
      </c>
      <c r="W15" s="28">
        <v>0</v>
      </c>
      <c r="X15" s="28">
        <v>0</v>
      </c>
      <c r="Y15" s="28">
        <v>0</v>
      </c>
      <c r="Z15" s="28">
        <v>0</v>
      </c>
      <c r="AA15" s="28">
        <v>0</v>
      </c>
      <c r="AB15" s="28">
        <v>0</v>
      </c>
      <c r="AC15" s="63"/>
      <c r="AD15" s="28">
        <v>0</v>
      </c>
      <c r="AE15" s="28">
        <v>0</v>
      </c>
      <c r="AF15" s="28">
        <v>0</v>
      </c>
      <c r="AG15" s="28">
        <v>0</v>
      </c>
      <c r="AH15" s="28">
        <v>0</v>
      </c>
      <c r="AI15" s="28">
        <v>0</v>
      </c>
      <c r="AJ15" s="28">
        <v>0</v>
      </c>
      <c r="AK15" s="28">
        <v>0</v>
      </c>
      <c r="AL15" s="28">
        <v>0</v>
      </c>
      <c r="AM15" s="28">
        <v>0</v>
      </c>
      <c r="AN15" s="28">
        <v>0</v>
      </c>
      <c r="AO15" s="28">
        <v>0</v>
      </c>
    </row>
    <row r="16" spans="1:43" s="51" customFormat="1">
      <c r="A16" s="31"/>
      <c r="B16" s="66" t="s">
        <v>312</v>
      </c>
      <c r="C16" s="58"/>
      <c r="D16" s="52"/>
      <c r="E16" s="53"/>
      <c r="F16" s="53"/>
      <c r="G16" s="53"/>
      <c r="H16" s="53"/>
      <c r="I16" s="53"/>
      <c r="J16" s="53"/>
      <c r="K16" s="53"/>
      <c r="L16" s="53"/>
      <c r="M16" s="53"/>
      <c r="N16" s="53"/>
      <c r="O16" s="54"/>
      <c r="P16" s="63"/>
      <c r="Q16" s="52"/>
      <c r="R16" s="53"/>
      <c r="S16" s="53"/>
      <c r="T16" s="53"/>
      <c r="U16" s="53"/>
      <c r="V16" s="53"/>
      <c r="W16" s="53"/>
      <c r="X16" s="53"/>
      <c r="Y16" s="53"/>
      <c r="Z16" s="53"/>
      <c r="AA16" s="53"/>
      <c r="AB16" s="54"/>
      <c r="AC16" s="63"/>
      <c r="AD16" s="52"/>
      <c r="AE16" s="53"/>
      <c r="AF16" s="53"/>
      <c r="AG16" s="53"/>
      <c r="AH16" s="53"/>
      <c r="AI16" s="53"/>
      <c r="AJ16" s="53"/>
      <c r="AK16" s="53"/>
      <c r="AL16" s="53"/>
      <c r="AM16" s="53"/>
      <c r="AN16" s="53"/>
      <c r="AO16" s="54"/>
    </row>
    <row r="17" spans="1:41" s="51" customFormat="1">
      <c r="A17" s="31"/>
      <c r="B17" s="25" t="s">
        <v>313</v>
      </c>
      <c r="C17" s="48"/>
      <c r="D17" s="28">
        <f>'Basic inputs'!$E$36</f>
        <v>1800</v>
      </c>
      <c r="E17" s="28">
        <f>'Basic inputs'!$E$36</f>
        <v>1800</v>
      </c>
      <c r="F17" s="28">
        <f>'Basic inputs'!$E$36</f>
        <v>1800</v>
      </c>
      <c r="G17" s="28">
        <f>'Basic inputs'!$E$36</f>
        <v>1800</v>
      </c>
      <c r="H17" s="28">
        <f>'Basic inputs'!$E$36</f>
        <v>1800</v>
      </c>
      <c r="I17" s="28">
        <f>'Basic inputs'!$E$36</f>
        <v>1800</v>
      </c>
      <c r="J17" s="28">
        <f>'Basic inputs'!$E$36</f>
        <v>1800</v>
      </c>
      <c r="K17" s="28">
        <f>'Basic inputs'!$E$36</f>
        <v>1800</v>
      </c>
      <c r="L17" s="28">
        <f>'Basic inputs'!$E$36</f>
        <v>1800</v>
      </c>
      <c r="M17" s="28">
        <f>'Basic inputs'!$E$36</f>
        <v>1800</v>
      </c>
      <c r="N17" s="28">
        <f>'Basic inputs'!$E$36</f>
        <v>1800</v>
      </c>
      <c r="O17" s="28">
        <f>'Basic inputs'!$E$36</f>
        <v>1800</v>
      </c>
      <c r="P17" s="63"/>
      <c r="Q17" s="28">
        <f>'Basic inputs'!$E$36</f>
        <v>1800</v>
      </c>
      <c r="R17" s="28">
        <f>'Basic inputs'!$E$36</f>
        <v>1800</v>
      </c>
      <c r="S17" s="28">
        <f>'Basic inputs'!$E$36</f>
        <v>1800</v>
      </c>
      <c r="T17" s="28">
        <f>'Basic inputs'!$E$36</f>
        <v>1800</v>
      </c>
      <c r="U17" s="28">
        <f>'Basic inputs'!$E$36</f>
        <v>1800</v>
      </c>
      <c r="V17" s="28">
        <f>'Basic inputs'!$E$36</f>
        <v>1800</v>
      </c>
      <c r="W17" s="28">
        <f>'Basic inputs'!$E$36</f>
        <v>1800</v>
      </c>
      <c r="X17" s="28">
        <f>'Basic inputs'!$E$36</f>
        <v>1800</v>
      </c>
      <c r="Y17" s="28">
        <f>'Basic inputs'!$E$36</f>
        <v>1800</v>
      </c>
      <c r="Z17" s="28">
        <f>'Basic inputs'!$E$36</f>
        <v>1800</v>
      </c>
      <c r="AA17" s="28">
        <f>'Basic inputs'!$E$36</f>
        <v>1800</v>
      </c>
      <c r="AB17" s="28">
        <f>'Basic inputs'!$E$36</f>
        <v>1800</v>
      </c>
      <c r="AC17" s="63"/>
      <c r="AD17" s="28">
        <f>'Basic inputs'!$E$36</f>
        <v>1800</v>
      </c>
      <c r="AE17" s="28">
        <f>'Basic inputs'!$E$36</f>
        <v>1800</v>
      </c>
      <c r="AF17" s="28">
        <f>'Basic inputs'!$E$36</f>
        <v>1800</v>
      </c>
      <c r="AG17" s="28">
        <f>'Basic inputs'!$E$36</f>
        <v>1800</v>
      </c>
      <c r="AH17" s="28">
        <f>'Basic inputs'!$E$36</f>
        <v>1800</v>
      </c>
      <c r="AI17" s="28">
        <f>'Basic inputs'!$E$36</f>
        <v>1800</v>
      </c>
      <c r="AJ17" s="28">
        <f>'Basic inputs'!$E$36</f>
        <v>1800</v>
      </c>
      <c r="AK17" s="28">
        <f>'Basic inputs'!$E$36</f>
        <v>1800</v>
      </c>
      <c r="AL17" s="28">
        <f>'Basic inputs'!$E$36</f>
        <v>1800</v>
      </c>
      <c r="AM17" s="28">
        <f>'Basic inputs'!$E$36</f>
        <v>1800</v>
      </c>
      <c r="AN17" s="28">
        <f>'Basic inputs'!$E$36</f>
        <v>1800</v>
      </c>
      <c r="AO17" s="28">
        <f>'Basic inputs'!$E$36</f>
        <v>1800</v>
      </c>
    </row>
    <row r="18" spans="1:41">
      <c r="B18" s="171" t="s">
        <v>12</v>
      </c>
      <c r="C18" s="48"/>
      <c r="D18" s="28">
        <f>'Basic inputs'!$E$38</f>
        <v>0</v>
      </c>
      <c r="E18" s="28">
        <f>'Basic inputs'!$E$38</f>
        <v>0</v>
      </c>
      <c r="F18" s="28">
        <f>'Basic inputs'!$E$38</f>
        <v>0</v>
      </c>
      <c r="G18" s="28">
        <f>'Basic inputs'!$E$38</f>
        <v>0</v>
      </c>
      <c r="H18" s="28">
        <f>'Basic inputs'!$E$38</f>
        <v>0</v>
      </c>
      <c r="I18" s="28">
        <f>'Basic inputs'!$E$38</f>
        <v>0</v>
      </c>
      <c r="J18" s="28">
        <f>'Basic inputs'!$E$38</f>
        <v>0</v>
      </c>
      <c r="K18" s="28">
        <f>'Basic inputs'!$E$38</f>
        <v>0</v>
      </c>
      <c r="L18" s="28">
        <f>'Basic inputs'!$E$38</f>
        <v>0</v>
      </c>
      <c r="M18" s="28">
        <f>'Basic inputs'!$E$38</f>
        <v>0</v>
      </c>
      <c r="N18" s="28">
        <f>'Basic inputs'!$E$38</f>
        <v>0</v>
      </c>
      <c r="O18" s="28">
        <f>'Basic inputs'!$E$38</f>
        <v>0</v>
      </c>
      <c r="P18" s="63"/>
      <c r="Q18" s="28">
        <f>'Basic inputs'!$E$38</f>
        <v>0</v>
      </c>
      <c r="R18" s="28">
        <f>'Basic inputs'!$E$38</f>
        <v>0</v>
      </c>
      <c r="S18" s="28">
        <f>'Basic inputs'!$E$38</f>
        <v>0</v>
      </c>
      <c r="T18" s="28">
        <f>'Basic inputs'!$E$38</f>
        <v>0</v>
      </c>
      <c r="U18" s="28">
        <f>'Basic inputs'!$E$38</f>
        <v>0</v>
      </c>
      <c r="V18" s="28">
        <f>'Basic inputs'!$E$38</f>
        <v>0</v>
      </c>
      <c r="W18" s="28">
        <f>'Basic inputs'!$E$38</f>
        <v>0</v>
      </c>
      <c r="X18" s="28">
        <f>'Basic inputs'!$E$38</f>
        <v>0</v>
      </c>
      <c r="Y18" s="28">
        <f>'Basic inputs'!$E$38</f>
        <v>0</v>
      </c>
      <c r="Z18" s="28">
        <f>'Basic inputs'!$E$38</f>
        <v>0</v>
      </c>
      <c r="AA18" s="28">
        <f>'Basic inputs'!$E$38</f>
        <v>0</v>
      </c>
      <c r="AB18" s="28">
        <f>'Basic inputs'!$E$38</f>
        <v>0</v>
      </c>
      <c r="AC18" s="63"/>
      <c r="AD18" s="28">
        <f>'Basic inputs'!$E$38</f>
        <v>0</v>
      </c>
      <c r="AE18" s="28">
        <f>'Basic inputs'!$E$38</f>
        <v>0</v>
      </c>
      <c r="AF18" s="28">
        <f>'Basic inputs'!$E$38</f>
        <v>0</v>
      </c>
      <c r="AG18" s="28">
        <f>'Basic inputs'!$E$38</f>
        <v>0</v>
      </c>
      <c r="AH18" s="28">
        <f>'Basic inputs'!$E$38</f>
        <v>0</v>
      </c>
      <c r="AI18" s="28">
        <f>'Basic inputs'!$E$38</f>
        <v>0</v>
      </c>
      <c r="AJ18" s="28">
        <f>'Basic inputs'!$E$38</f>
        <v>0</v>
      </c>
      <c r="AK18" s="28">
        <f>'Basic inputs'!$E$38</f>
        <v>0</v>
      </c>
      <c r="AL18" s="28">
        <f>'Basic inputs'!$E$38</f>
        <v>0</v>
      </c>
      <c r="AM18" s="28">
        <f>'Basic inputs'!$E$38</f>
        <v>0</v>
      </c>
      <c r="AN18" s="28">
        <f>'Basic inputs'!$E$38</f>
        <v>0</v>
      </c>
      <c r="AO18" s="28">
        <f>'Basic inputs'!$E$38</f>
        <v>0</v>
      </c>
    </row>
    <row r="19" spans="1:41">
      <c r="B19" s="171" t="s">
        <v>316</v>
      </c>
      <c r="C19" s="48"/>
      <c r="D19" s="28">
        <f>'Basic inputs'!$E$39</f>
        <v>127</v>
      </c>
      <c r="E19" s="28">
        <f>'Basic inputs'!$E$39</f>
        <v>127</v>
      </c>
      <c r="F19" s="28">
        <f>'Basic inputs'!$E$39</f>
        <v>127</v>
      </c>
      <c r="G19" s="28">
        <f>'Basic inputs'!$E$39</f>
        <v>127</v>
      </c>
      <c r="H19" s="28">
        <f>'Basic inputs'!$E$39</f>
        <v>127</v>
      </c>
      <c r="I19" s="28">
        <f>'Basic inputs'!$E$39</f>
        <v>127</v>
      </c>
      <c r="J19" s="28">
        <f>'Basic inputs'!$E$39</f>
        <v>127</v>
      </c>
      <c r="K19" s="28">
        <f>'Basic inputs'!$E$39</f>
        <v>127</v>
      </c>
      <c r="L19" s="28">
        <f>'Basic inputs'!$E$39</f>
        <v>127</v>
      </c>
      <c r="M19" s="28">
        <f>'Basic inputs'!$E$39</f>
        <v>127</v>
      </c>
      <c r="N19" s="28">
        <f>'Basic inputs'!$E$39</f>
        <v>127</v>
      </c>
      <c r="O19" s="28">
        <f>'Basic inputs'!$E$39</f>
        <v>127</v>
      </c>
      <c r="P19" s="63"/>
      <c r="Q19" s="28">
        <f>'Basic inputs'!$E$39</f>
        <v>127</v>
      </c>
      <c r="R19" s="28">
        <f>'Basic inputs'!$E$39</f>
        <v>127</v>
      </c>
      <c r="S19" s="28">
        <f>'Basic inputs'!$E$39</f>
        <v>127</v>
      </c>
      <c r="T19" s="28">
        <f>'Basic inputs'!$E$39</f>
        <v>127</v>
      </c>
      <c r="U19" s="28">
        <f>'Basic inputs'!$E$39</f>
        <v>127</v>
      </c>
      <c r="V19" s="28">
        <f>'Basic inputs'!$E$39</f>
        <v>127</v>
      </c>
      <c r="W19" s="28">
        <f>'Basic inputs'!$E$39</f>
        <v>127</v>
      </c>
      <c r="X19" s="28">
        <f>'Basic inputs'!$E$39</f>
        <v>127</v>
      </c>
      <c r="Y19" s="28">
        <f>'Basic inputs'!$E$39</f>
        <v>127</v>
      </c>
      <c r="Z19" s="28">
        <f>'Basic inputs'!$E$39</f>
        <v>127</v>
      </c>
      <c r="AA19" s="28">
        <f>'Basic inputs'!$E$39</f>
        <v>127</v>
      </c>
      <c r="AB19" s="28">
        <f>'Basic inputs'!$E$39</f>
        <v>127</v>
      </c>
      <c r="AC19" s="63"/>
      <c r="AD19" s="28">
        <f>'Basic inputs'!$E$39</f>
        <v>127</v>
      </c>
      <c r="AE19" s="28">
        <f>'Basic inputs'!$E$39</f>
        <v>127</v>
      </c>
      <c r="AF19" s="28">
        <f>'Basic inputs'!$E$39</f>
        <v>127</v>
      </c>
      <c r="AG19" s="28">
        <f>'Basic inputs'!$E$39</f>
        <v>127</v>
      </c>
      <c r="AH19" s="28">
        <f>'Basic inputs'!$E$39</f>
        <v>127</v>
      </c>
      <c r="AI19" s="28">
        <f>'Basic inputs'!$E$39</f>
        <v>127</v>
      </c>
      <c r="AJ19" s="28">
        <f>'Basic inputs'!$E$39</f>
        <v>127</v>
      </c>
      <c r="AK19" s="28">
        <f>'Basic inputs'!$E$39</f>
        <v>127</v>
      </c>
      <c r="AL19" s="28">
        <f>'Basic inputs'!$E$39</f>
        <v>127</v>
      </c>
      <c r="AM19" s="28">
        <f>'Basic inputs'!$E$39</f>
        <v>127</v>
      </c>
      <c r="AN19" s="28">
        <f>'Basic inputs'!$E$39</f>
        <v>127</v>
      </c>
      <c r="AO19" s="28">
        <f>'Basic inputs'!$E$39</f>
        <v>127</v>
      </c>
    </row>
    <row r="20" spans="1:41">
      <c r="B20" s="171" t="s">
        <v>13</v>
      </c>
      <c r="C20" s="48"/>
      <c r="D20" s="28">
        <f>IF('Basic inputs'!$E$40 = "Oil",'Basic inputs'!$E$42*VLOOKUP(D5,'Calculations (INTERNAL)'!$O$32:$P$43,2,FALSE),0)</f>
        <v>0</v>
      </c>
      <c r="E20" s="28">
        <f>IF('Basic inputs'!$E$40 = "Oil",'Basic inputs'!$E$42*VLOOKUP(E5,'Calculations (INTERNAL)'!$O$32:$P$43,2,FALSE),0)</f>
        <v>0</v>
      </c>
      <c r="F20" s="28">
        <f>IF('Basic inputs'!$E$40 = "Oil",'Basic inputs'!$E$42*VLOOKUP(F5,'Calculations (INTERNAL)'!$O$32:$P$43,2,FALSE),0)</f>
        <v>0</v>
      </c>
      <c r="G20" s="28">
        <f>IF('Basic inputs'!$E$40 = "Oil",'Basic inputs'!$E$42*VLOOKUP(G5,'Calculations (INTERNAL)'!$O$32:$P$43,2,FALSE),0)</f>
        <v>0</v>
      </c>
      <c r="H20" s="28">
        <f>IF('Basic inputs'!$E$40 = "Oil",'Basic inputs'!$E$42*VLOOKUP(H5,'Calculations (INTERNAL)'!$O$32:$P$43,2,FALSE),0)</f>
        <v>0</v>
      </c>
      <c r="I20" s="28">
        <f>IF('Basic inputs'!$E$40 = "Oil",'Basic inputs'!$E$42*VLOOKUP(I5,'Calculations (INTERNAL)'!$O$32:$P$43,2,FALSE),0)</f>
        <v>0</v>
      </c>
      <c r="J20" s="28">
        <f>IF('Basic inputs'!$E$40 = "Oil",'Basic inputs'!$E$42*VLOOKUP(J5,'Calculations (INTERNAL)'!$O$32:$P$43,2,FALSE),0)</f>
        <v>0</v>
      </c>
      <c r="K20" s="28">
        <f>IF('Basic inputs'!$E$40 = "Oil",'Basic inputs'!$E$42*VLOOKUP(K5,'Calculations (INTERNAL)'!$O$32:$P$43,2,FALSE),0)</f>
        <v>0</v>
      </c>
      <c r="L20" s="28">
        <f>IF('Basic inputs'!$E$40 = "Oil",'Basic inputs'!$E$42*VLOOKUP(L5,'Calculations (INTERNAL)'!$O$32:$P$43,2,FALSE),0)</f>
        <v>0</v>
      </c>
      <c r="M20" s="28">
        <f>IF('Basic inputs'!$E$40 = "Oil",'Basic inputs'!$E$42*VLOOKUP(M5,'Calculations (INTERNAL)'!$O$32:$P$43,2,FALSE),0)</f>
        <v>0</v>
      </c>
      <c r="N20" s="28">
        <f>IF('Basic inputs'!$E$40 = "Oil",'Basic inputs'!$E$42*VLOOKUP(N5,'Calculations (INTERNAL)'!$O$32:$P$43,2,FALSE),0)</f>
        <v>0</v>
      </c>
      <c r="O20" s="28">
        <f>IF('Basic inputs'!$E$40 = "Oil",'Basic inputs'!$E$42*VLOOKUP(O5,'Calculations (INTERNAL)'!$O$32:$P$43,2,FALSE),0)</f>
        <v>0</v>
      </c>
      <c r="P20" s="63"/>
      <c r="Q20" s="28">
        <f>IF('Basic inputs'!$E$40 = "Oil",'Basic inputs'!$E$42*VLOOKUP(Q5,'Calculations (INTERNAL)'!$O$32:$P$43,2,FALSE),0)</f>
        <v>0</v>
      </c>
      <c r="R20" s="28">
        <f>IF('Basic inputs'!$E$40 = "Oil",'Basic inputs'!$E$42*VLOOKUP(R5,'Calculations (INTERNAL)'!$O$32:$P$43,2,FALSE),0)</f>
        <v>0</v>
      </c>
      <c r="S20" s="28">
        <f>IF('Basic inputs'!$E$40 = "Oil",'Basic inputs'!$E$42*VLOOKUP(S5,'Calculations (INTERNAL)'!$O$32:$P$43,2,FALSE),0)</f>
        <v>0</v>
      </c>
      <c r="T20" s="28">
        <f>IF('Basic inputs'!$E$40 = "Oil",'Basic inputs'!$E$42*VLOOKUP(T5,'Calculations (INTERNAL)'!$O$32:$P$43,2,FALSE),0)</f>
        <v>0</v>
      </c>
      <c r="U20" s="28">
        <f>IF('Basic inputs'!$E$40 = "Oil",'Basic inputs'!$E$42*VLOOKUP(U5,'Calculations (INTERNAL)'!$O$32:$P$43,2,FALSE),0)</f>
        <v>0</v>
      </c>
      <c r="V20" s="28">
        <f>IF('Basic inputs'!$E$40 = "Oil",'Basic inputs'!$E$42*VLOOKUP(V5,'Calculations (INTERNAL)'!$O$32:$P$43,2,FALSE),0)</f>
        <v>0</v>
      </c>
      <c r="W20" s="28">
        <f>IF('Basic inputs'!$E$40 = "Oil",'Basic inputs'!$E$42*VLOOKUP(W5,'Calculations (INTERNAL)'!$O$32:$P$43,2,FALSE),0)</f>
        <v>0</v>
      </c>
      <c r="X20" s="28">
        <f>IF('Basic inputs'!$E$40 = "Oil",'Basic inputs'!$E$42*VLOOKUP(X5,'Calculations (INTERNAL)'!$O$32:$P$43,2,FALSE),0)</f>
        <v>0</v>
      </c>
      <c r="Y20" s="28">
        <f>IF('Basic inputs'!$E$40 = "Oil",'Basic inputs'!$E$42*VLOOKUP(Y5,'Calculations (INTERNAL)'!$O$32:$P$43,2,FALSE),0)</f>
        <v>0</v>
      </c>
      <c r="Z20" s="28">
        <f>IF('Basic inputs'!$E$40 = "Oil",'Basic inputs'!$E$42*VLOOKUP(Z5,'Calculations (INTERNAL)'!$O$32:$P$43,2,FALSE),0)</f>
        <v>0</v>
      </c>
      <c r="AA20" s="28">
        <f>IF('Basic inputs'!$E$40 = "Oil",'Basic inputs'!$E$42*VLOOKUP(AA5,'Calculations (INTERNAL)'!$O$32:$P$43,2,FALSE),0)</f>
        <v>0</v>
      </c>
      <c r="AB20" s="28">
        <f>IF('Basic inputs'!$E$40 = "Oil",'Basic inputs'!$E$42*VLOOKUP(AB5,'Calculations (INTERNAL)'!$O$32:$P$43,2,FALSE),0)</f>
        <v>0</v>
      </c>
      <c r="AC20" s="63"/>
      <c r="AD20" s="28">
        <f>IF('Basic inputs'!$E$40 = "Oil",'Basic inputs'!$E$42*VLOOKUP(AD5,'Calculations (INTERNAL)'!$O$32:$P$43,2,FALSE),0)</f>
        <v>0</v>
      </c>
      <c r="AE20" s="28">
        <f>IF('Basic inputs'!$E$40 = "Oil",'Basic inputs'!$E$42*VLOOKUP(AE5,'Calculations (INTERNAL)'!$O$32:$P$43,2,FALSE),0)</f>
        <v>0</v>
      </c>
      <c r="AF20" s="28">
        <f>IF('Basic inputs'!$E$40 = "Oil",'Basic inputs'!$E$42*VLOOKUP(AF5,'Calculations (INTERNAL)'!$O$32:$P$43,2,FALSE),0)</f>
        <v>0</v>
      </c>
      <c r="AG20" s="28">
        <f>IF('Basic inputs'!$E$40 = "Oil",'Basic inputs'!$E$42*VLOOKUP(AG5,'Calculations (INTERNAL)'!$O$32:$P$43,2,FALSE),0)</f>
        <v>0</v>
      </c>
      <c r="AH20" s="28">
        <f>IF('Basic inputs'!$E$40 = "Oil",'Basic inputs'!$E$42*VLOOKUP(AH5,'Calculations (INTERNAL)'!$O$32:$P$43,2,FALSE),0)</f>
        <v>0</v>
      </c>
      <c r="AI20" s="28">
        <f>IF('Basic inputs'!$E$40 = "Oil",'Basic inputs'!$E$42*VLOOKUP(AI5,'Calculations (INTERNAL)'!$O$32:$P$43,2,FALSE),0)</f>
        <v>0</v>
      </c>
      <c r="AJ20" s="28">
        <f>IF('Basic inputs'!$E$40 = "Oil",'Basic inputs'!$E$42*VLOOKUP(AJ5,'Calculations (INTERNAL)'!$O$32:$P$43,2,FALSE),0)</f>
        <v>0</v>
      </c>
      <c r="AK20" s="28">
        <f>IF('Basic inputs'!$E$40 = "Oil",'Basic inputs'!$E$42*VLOOKUP(AK5,'Calculations (INTERNAL)'!$O$32:$P$43,2,FALSE),0)</f>
        <v>0</v>
      </c>
      <c r="AL20" s="28">
        <f>IF('Basic inputs'!$E$40 = "Oil",'Basic inputs'!$E$42*VLOOKUP(AL5,'Calculations (INTERNAL)'!$O$32:$P$43,2,FALSE),0)</f>
        <v>0</v>
      </c>
      <c r="AM20" s="28">
        <f>IF('Basic inputs'!$E$40 = "Oil",'Basic inputs'!$E$42*VLOOKUP(AM5,'Calculations (INTERNAL)'!$O$32:$P$43,2,FALSE),0)</f>
        <v>0</v>
      </c>
      <c r="AN20" s="28">
        <f>IF('Basic inputs'!$E$40 = "Oil",'Basic inputs'!$E$42*VLOOKUP(AN5,'Calculations (INTERNAL)'!$O$32:$P$43,2,FALSE),0)</f>
        <v>0</v>
      </c>
      <c r="AO20" s="28">
        <f>IF('Basic inputs'!$E$40 = "Oil",'Basic inputs'!$E$42*VLOOKUP(AO5,'Calculations (INTERNAL)'!$O$32:$P$43,2,FALSE),0)</f>
        <v>0</v>
      </c>
    </row>
    <row r="21" spans="1:41">
      <c r="B21" s="171" t="s">
        <v>11</v>
      </c>
      <c r="C21" s="48"/>
      <c r="D21" s="28">
        <f>IF('Basic inputs'!$E$40="Gas",'Basic inputs'!$E$41*VLOOKUP(D5,'Calculations (INTERNAL)'!$O$32:$P$43,2,FALSE),0)</f>
        <v>333</v>
      </c>
      <c r="E21" s="28">
        <f>IF('Basic inputs'!$E$40="Gas",'Basic inputs'!$E$41*VLOOKUP(E5,'Calculations (INTERNAL)'!$O$32:$P$43,2,FALSE),0)</f>
        <v>333</v>
      </c>
      <c r="F21" s="28">
        <f>IF('Basic inputs'!$E$40="Gas",'Basic inputs'!$E$41*VLOOKUP(F5,'Calculations (INTERNAL)'!$O$32:$P$43,2,FALSE),0)</f>
        <v>333</v>
      </c>
      <c r="G21" s="28">
        <f>IF('Basic inputs'!$E$40="Gas",'Basic inputs'!$E$41*VLOOKUP(G5,'Calculations (INTERNAL)'!$O$32:$P$43,2,FALSE),0)</f>
        <v>333</v>
      </c>
      <c r="H21" s="28">
        <f>IF('Basic inputs'!$E$40="Gas",'Basic inputs'!$E$41*VLOOKUP(H5,'Calculations (INTERNAL)'!$O$32:$P$43,2,FALSE),0)</f>
        <v>0</v>
      </c>
      <c r="I21" s="28">
        <f>IF('Basic inputs'!$E$40="Gas",'Basic inputs'!$E$41*VLOOKUP(I5,'Calculations (INTERNAL)'!$O$32:$P$43,2,FALSE),0)</f>
        <v>0</v>
      </c>
      <c r="J21" s="28">
        <f>IF('Basic inputs'!$E$40="Gas",'Basic inputs'!$E$41*VLOOKUP(J5,'Calculations (INTERNAL)'!$O$32:$P$43,2,FALSE),0)</f>
        <v>0</v>
      </c>
      <c r="K21" s="28">
        <f>IF('Basic inputs'!$E$40="Gas",'Basic inputs'!$E$41*VLOOKUP(K5,'Calculations (INTERNAL)'!$O$32:$P$43,2,FALSE),0)</f>
        <v>0</v>
      </c>
      <c r="L21" s="28">
        <f>IF('Basic inputs'!$E$40="Gas",'Basic inputs'!$E$41*VLOOKUP(L5,'Calculations (INTERNAL)'!$O$32:$P$43,2,FALSE),0)</f>
        <v>0</v>
      </c>
      <c r="M21" s="28">
        <f>IF('Basic inputs'!$E$40="Gas",'Basic inputs'!$E$41*VLOOKUP(M5,'Calculations (INTERNAL)'!$O$32:$P$43,2,FALSE),0)</f>
        <v>0</v>
      </c>
      <c r="N21" s="28">
        <f>IF('Basic inputs'!$E$40="Gas",'Basic inputs'!$E$41*VLOOKUP(N5,'Calculations (INTERNAL)'!$O$32:$P$43,2,FALSE),0)</f>
        <v>333</v>
      </c>
      <c r="O21" s="28">
        <f>IF('Basic inputs'!$E$40="Gas",'Basic inputs'!$E$41*VLOOKUP(O5,'Calculations (INTERNAL)'!$O$32:$P$43,2,FALSE),0)</f>
        <v>333</v>
      </c>
      <c r="P21" s="63"/>
      <c r="Q21" s="28">
        <f>IF('Basic inputs'!$E$40="Gas",'Basic inputs'!$E$41*VLOOKUP(Q5,'Calculations (INTERNAL)'!$O$32:$P$43,2,FALSE),0)</f>
        <v>333</v>
      </c>
      <c r="R21" s="28">
        <f>IF('Basic inputs'!$E$40="Gas",'Basic inputs'!$E$41*VLOOKUP(R5,'Calculations (INTERNAL)'!$O$32:$P$43,2,FALSE),0)</f>
        <v>333</v>
      </c>
      <c r="S21" s="28">
        <f>IF('Basic inputs'!$E$40="Gas",'Basic inputs'!$E$41*VLOOKUP(S5,'Calculations (INTERNAL)'!$O$32:$P$43,2,FALSE),0)</f>
        <v>333</v>
      </c>
      <c r="T21" s="28">
        <f>IF('Basic inputs'!$E$40="Gas",'Basic inputs'!$E$41*VLOOKUP(T5,'Calculations (INTERNAL)'!$O$32:$P$43,2,FALSE),0)</f>
        <v>333</v>
      </c>
      <c r="U21" s="28">
        <f>IF('Basic inputs'!$E$40="Gas",'Basic inputs'!$E$41*VLOOKUP(U5,'Calculations (INTERNAL)'!$O$32:$P$43,2,FALSE),0)</f>
        <v>0</v>
      </c>
      <c r="V21" s="28">
        <f>IF('Basic inputs'!$E$40="Gas",'Basic inputs'!$E$41*VLOOKUP(V5,'Calculations (INTERNAL)'!$O$32:$P$43,2,FALSE),0)</f>
        <v>0</v>
      </c>
      <c r="W21" s="28">
        <f>IF('Basic inputs'!$E$40="Gas",'Basic inputs'!$E$41*VLOOKUP(W5,'Calculations (INTERNAL)'!$O$32:$P$43,2,FALSE),0)</f>
        <v>0</v>
      </c>
      <c r="X21" s="28">
        <f>IF('Basic inputs'!$E$40="Gas",'Basic inputs'!$E$41*VLOOKUP(X5,'Calculations (INTERNAL)'!$O$32:$P$43,2,FALSE),0)</f>
        <v>0</v>
      </c>
      <c r="Y21" s="28">
        <f>IF('Basic inputs'!$E$40="Gas",'Basic inputs'!$E$41*VLOOKUP(Y5,'Calculations (INTERNAL)'!$O$32:$P$43,2,FALSE),0)</f>
        <v>0</v>
      </c>
      <c r="Z21" s="28">
        <f>IF('Basic inputs'!$E$40="Gas",'Basic inputs'!$E$41*VLOOKUP(Z5,'Calculations (INTERNAL)'!$O$32:$P$43,2,FALSE),0)</f>
        <v>0</v>
      </c>
      <c r="AA21" s="28">
        <f>IF('Basic inputs'!$E$40="Gas",'Basic inputs'!$E$41*VLOOKUP(AA5,'Calculations (INTERNAL)'!$O$32:$P$43,2,FALSE),0)</f>
        <v>333</v>
      </c>
      <c r="AB21" s="28">
        <f>IF('Basic inputs'!$E$40="Gas",'Basic inputs'!$E$41*VLOOKUP(AB5,'Calculations (INTERNAL)'!$O$32:$P$43,2,FALSE),0)</f>
        <v>333</v>
      </c>
      <c r="AC21" s="63"/>
      <c r="AD21" s="28">
        <f>IF('Basic inputs'!$E$40="Gas",'Basic inputs'!$E$41*VLOOKUP(AD5,'Calculations (INTERNAL)'!$O$32:$P$43,2,FALSE),0)</f>
        <v>333</v>
      </c>
      <c r="AE21" s="28">
        <f>IF('Basic inputs'!$E$40="Gas",'Basic inputs'!$E$41*VLOOKUP(AE5,'Calculations (INTERNAL)'!$O$32:$P$43,2,FALSE),0)</f>
        <v>333</v>
      </c>
      <c r="AF21" s="28">
        <f>IF('Basic inputs'!$E$40="Gas",'Basic inputs'!$E$41*VLOOKUP(AF5,'Calculations (INTERNAL)'!$O$32:$P$43,2,FALSE),0)</f>
        <v>333</v>
      </c>
      <c r="AG21" s="28">
        <f>IF('Basic inputs'!$E$40="Gas",'Basic inputs'!$E$41*VLOOKUP(AG5,'Calculations (INTERNAL)'!$O$32:$P$43,2,FALSE),0)</f>
        <v>333</v>
      </c>
      <c r="AH21" s="28">
        <f>IF('Basic inputs'!$E$40="Gas",'Basic inputs'!$E$41*VLOOKUP(AH5,'Calculations (INTERNAL)'!$O$32:$P$43,2,FALSE),0)</f>
        <v>0</v>
      </c>
      <c r="AI21" s="28">
        <f>IF('Basic inputs'!$E$40="Gas",'Basic inputs'!$E$41*VLOOKUP(AI5,'Calculations (INTERNAL)'!$O$32:$P$43,2,FALSE),0)</f>
        <v>0</v>
      </c>
      <c r="AJ21" s="28">
        <f>IF('Basic inputs'!$E$40="Gas",'Basic inputs'!$E$41*VLOOKUP(AJ5,'Calculations (INTERNAL)'!$O$32:$P$43,2,FALSE),0)</f>
        <v>0</v>
      </c>
      <c r="AK21" s="28">
        <f>IF('Basic inputs'!$E$40="Gas",'Basic inputs'!$E$41*VLOOKUP(AK5,'Calculations (INTERNAL)'!$O$32:$P$43,2,FALSE),0)</f>
        <v>0</v>
      </c>
      <c r="AL21" s="28">
        <f>IF('Basic inputs'!$E$40="Gas",'Basic inputs'!$E$41*VLOOKUP(AL5,'Calculations (INTERNAL)'!$O$32:$P$43,2,FALSE),0)</f>
        <v>0</v>
      </c>
      <c r="AM21" s="28">
        <f>IF('Basic inputs'!$E$40="Gas",'Basic inputs'!$E$41*VLOOKUP(AM5,'Calculations (INTERNAL)'!$O$32:$P$43,2,FALSE),0)</f>
        <v>0</v>
      </c>
      <c r="AN21" s="28">
        <f>IF('Basic inputs'!$E$40="Gas",'Basic inputs'!$E$41*VLOOKUP(AN5,'Calculations (INTERNAL)'!$O$32:$P$43,2,FALSE),0)</f>
        <v>333</v>
      </c>
      <c r="AO21" s="28">
        <f>IF('Basic inputs'!$E$40="Gas",'Basic inputs'!$E$41*VLOOKUP(AO5,'Calculations (INTERNAL)'!$O$32:$P$43,2,FALSE),0)</f>
        <v>333</v>
      </c>
    </row>
    <row r="22" spans="1:41">
      <c r="B22" s="171" t="s">
        <v>302</v>
      </c>
      <c r="C22" s="48"/>
      <c r="D22" s="28" t="str">
        <f>'Basic inputs'!$E$55</f>
        <v>$   760</v>
      </c>
      <c r="E22" s="28" t="str">
        <f>'Basic inputs'!$E$55</f>
        <v>$   760</v>
      </c>
      <c r="F22" s="28" t="str">
        <f>'Basic inputs'!$E$55</f>
        <v>$   760</v>
      </c>
      <c r="G22" s="28" t="str">
        <f>'Basic inputs'!$E$55</f>
        <v>$   760</v>
      </c>
      <c r="H22" s="28" t="str">
        <f>'Basic inputs'!$E$55</f>
        <v>$   760</v>
      </c>
      <c r="I22" s="28" t="str">
        <f>'Basic inputs'!$E$55</f>
        <v>$   760</v>
      </c>
      <c r="J22" s="28" t="str">
        <f>'Basic inputs'!$E$55</f>
        <v>$   760</v>
      </c>
      <c r="K22" s="28" t="str">
        <f>'Basic inputs'!$E$55</f>
        <v>$   760</v>
      </c>
      <c r="L22" s="28" t="str">
        <f>'Basic inputs'!$E$55</f>
        <v>$   760</v>
      </c>
      <c r="M22" s="28" t="str">
        <f>'Basic inputs'!$E$55</f>
        <v>$   760</v>
      </c>
      <c r="N22" s="28" t="str">
        <f>'Basic inputs'!$E$55</f>
        <v>$   760</v>
      </c>
      <c r="O22" s="28" t="str">
        <f>'Basic inputs'!$E$55</f>
        <v>$   760</v>
      </c>
      <c r="P22" s="63"/>
      <c r="Q22" s="28" t="str">
        <f>'Basic inputs'!$E$55</f>
        <v>$   760</v>
      </c>
      <c r="R22" s="28" t="str">
        <f>'Basic inputs'!$E$55</f>
        <v>$   760</v>
      </c>
      <c r="S22" s="28" t="str">
        <f>'Basic inputs'!$E$55</f>
        <v>$   760</v>
      </c>
      <c r="T22" s="28" t="str">
        <f>'Basic inputs'!$E$55</f>
        <v>$   760</v>
      </c>
      <c r="U22" s="28" t="str">
        <f>'Basic inputs'!$E$55</f>
        <v>$   760</v>
      </c>
      <c r="V22" s="28" t="str">
        <f>'Basic inputs'!$E$55</f>
        <v>$   760</v>
      </c>
      <c r="W22" s="28" t="str">
        <f>'Basic inputs'!$E$55</f>
        <v>$   760</v>
      </c>
      <c r="X22" s="28" t="str">
        <f>'Basic inputs'!$E$55</f>
        <v>$   760</v>
      </c>
      <c r="Y22" s="28" t="str">
        <f>'Basic inputs'!$E$55</f>
        <v>$   760</v>
      </c>
      <c r="Z22" s="28" t="str">
        <f>'Basic inputs'!$E$55</f>
        <v>$   760</v>
      </c>
      <c r="AA22" s="28" t="str">
        <f>'Basic inputs'!$E$55</f>
        <v>$   760</v>
      </c>
      <c r="AB22" s="28" t="str">
        <f>'Basic inputs'!$E$55</f>
        <v>$   760</v>
      </c>
      <c r="AC22" s="63"/>
      <c r="AD22" s="28" t="str">
        <f>'Basic inputs'!$E$55</f>
        <v>$   760</v>
      </c>
      <c r="AE22" s="28" t="str">
        <f>'Basic inputs'!$E$55</f>
        <v>$   760</v>
      </c>
      <c r="AF22" s="28" t="str">
        <f>'Basic inputs'!$E$55</f>
        <v>$   760</v>
      </c>
      <c r="AG22" s="28" t="str">
        <f>'Basic inputs'!$E$55</f>
        <v>$   760</v>
      </c>
      <c r="AH22" s="28" t="str">
        <f>'Basic inputs'!$E$55</f>
        <v>$   760</v>
      </c>
      <c r="AI22" s="28" t="str">
        <f>'Basic inputs'!$E$55</f>
        <v>$   760</v>
      </c>
      <c r="AJ22" s="28" t="str">
        <f>'Basic inputs'!$E$55</f>
        <v>$   760</v>
      </c>
      <c r="AK22" s="28" t="str">
        <f>'Basic inputs'!$E$55</f>
        <v>$   760</v>
      </c>
      <c r="AL22" s="28" t="str">
        <f>'Basic inputs'!$E$55</f>
        <v>$   760</v>
      </c>
      <c r="AM22" s="28" t="str">
        <f>'Basic inputs'!$E$55</f>
        <v>$   760</v>
      </c>
      <c r="AN22" s="28" t="str">
        <f>'Basic inputs'!$E$55</f>
        <v>$   760</v>
      </c>
      <c r="AO22" s="28" t="str">
        <f>'Basic inputs'!$E$55</f>
        <v>$   760</v>
      </c>
    </row>
    <row r="23" spans="1:41">
      <c r="B23" s="171" t="s">
        <v>17</v>
      </c>
      <c r="C23" s="48"/>
      <c r="D23" s="28">
        <f>'Basic inputs'!$E$62</f>
        <v>0</v>
      </c>
      <c r="E23" s="28">
        <f>'Basic inputs'!$E$62</f>
        <v>0</v>
      </c>
      <c r="F23" s="28">
        <f>'Basic inputs'!$E$62</f>
        <v>0</v>
      </c>
      <c r="G23" s="28">
        <f>'Basic inputs'!$E$62</f>
        <v>0</v>
      </c>
      <c r="H23" s="28">
        <f>'Basic inputs'!$E$62</f>
        <v>0</v>
      </c>
      <c r="I23" s="28">
        <f>'Basic inputs'!$E$62</f>
        <v>0</v>
      </c>
      <c r="J23" s="28">
        <f>'Basic inputs'!$E$62</f>
        <v>0</v>
      </c>
      <c r="K23" s="28">
        <f>'Basic inputs'!$E$62</f>
        <v>0</v>
      </c>
      <c r="L23" s="28">
        <f>'Basic inputs'!$E$62</f>
        <v>0</v>
      </c>
      <c r="M23" s="28">
        <f>'Basic inputs'!$E$62</f>
        <v>0</v>
      </c>
      <c r="N23" s="28">
        <f>'Basic inputs'!$E$62</f>
        <v>0</v>
      </c>
      <c r="O23" s="28">
        <f>'Basic inputs'!$E$62</f>
        <v>0</v>
      </c>
      <c r="P23" s="63"/>
      <c r="Q23" s="28">
        <f>'Basic inputs'!$E$62</f>
        <v>0</v>
      </c>
      <c r="R23" s="28">
        <f>'Basic inputs'!$E$62</f>
        <v>0</v>
      </c>
      <c r="S23" s="28">
        <f>'Basic inputs'!$E$62</f>
        <v>0</v>
      </c>
      <c r="T23" s="28">
        <f>'Basic inputs'!$E$62</f>
        <v>0</v>
      </c>
      <c r="U23" s="28">
        <f>'Basic inputs'!$E$62</f>
        <v>0</v>
      </c>
      <c r="V23" s="28">
        <f>'Basic inputs'!$E$62</f>
        <v>0</v>
      </c>
      <c r="W23" s="28">
        <f>'Basic inputs'!$E$62</f>
        <v>0</v>
      </c>
      <c r="X23" s="28">
        <f>'Basic inputs'!$E$62</f>
        <v>0</v>
      </c>
      <c r="Y23" s="28">
        <f>'Basic inputs'!$E$62</f>
        <v>0</v>
      </c>
      <c r="Z23" s="28">
        <f>'Basic inputs'!$E$62</f>
        <v>0</v>
      </c>
      <c r="AA23" s="28">
        <f>'Basic inputs'!$E$62</f>
        <v>0</v>
      </c>
      <c r="AB23" s="28">
        <f>'Basic inputs'!$E$62</f>
        <v>0</v>
      </c>
      <c r="AC23" s="63"/>
      <c r="AD23" s="28">
        <f>'Basic inputs'!$E$62</f>
        <v>0</v>
      </c>
      <c r="AE23" s="28">
        <f>'Basic inputs'!$E$62</f>
        <v>0</v>
      </c>
      <c r="AF23" s="28">
        <f>'Basic inputs'!$E$62</f>
        <v>0</v>
      </c>
      <c r="AG23" s="28">
        <f>'Basic inputs'!$E$62</f>
        <v>0</v>
      </c>
      <c r="AH23" s="28">
        <f>'Basic inputs'!$E$62</f>
        <v>0</v>
      </c>
      <c r="AI23" s="28">
        <f>'Basic inputs'!$E$62</f>
        <v>0</v>
      </c>
      <c r="AJ23" s="28">
        <f>'Basic inputs'!$E$62</f>
        <v>0</v>
      </c>
      <c r="AK23" s="28">
        <f>'Basic inputs'!$E$62</f>
        <v>0</v>
      </c>
      <c r="AL23" s="28">
        <f>'Basic inputs'!$E$62</f>
        <v>0</v>
      </c>
      <c r="AM23" s="28">
        <f>'Basic inputs'!$E$62</f>
        <v>0</v>
      </c>
      <c r="AN23" s="28">
        <f>'Basic inputs'!$E$62</f>
        <v>0</v>
      </c>
      <c r="AO23" s="28">
        <f>'Basic inputs'!$E$62</f>
        <v>0</v>
      </c>
    </row>
    <row r="24" spans="1:41">
      <c r="B24" s="171" t="s">
        <v>382</v>
      </c>
      <c r="C24" s="48"/>
      <c r="D24" s="28">
        <f>'Basic inputs'!$E$56</f>
        <v>40</v>
      </c>
      <c r="E24" s="28">
        <f>'Basic inputs'!$E$56</f>
        <v>40</v>
      </c>
      <c r="F24" s="28">
        <f>'Basic inputs'!$E$56</f>
        <v>40</v>
      </c>
      <c r="G24" s="28">
        <f>'Basic inputs'!$E$56</f>
        <v>40</v>
      </c>
      <c r="H24" s="28">
        <f>'Basic inputs'!$E$56</f>
        <v>40</v>
      </c>
      <c r="I24" s="28">
        <f>'Basic inputs'!$E$56</f>
        <v>40</v>
      </c>
      <c r="J24" s="28">
        <f>'Basic inputs'!$E$56</f>
        <v>40</v>
      </c>
      <c r="K24" s="28">
        <f>'Basic inputs'!$E$56</f>
        <v>40</v>
      </c>
      <c r="L24" s="28">
        <f>'Basic inputs'!$E$56</f>
        <v>40</v>
      </c>
      <c r="M24" s="28">
        <f>'Basic inputs'!$E$56</f>
        <v>40</v>
      </c>
      <c r="N24" s="28">
        <f>'Basic inputs'!$E$56</f>
        <v>40</v>
      </c>
      <c r="O24" s="28">
        <f>'Basic inputs'!$E$56</f>
        <v>40</v>
      </c>
      <c r="P24" s="63"/>
      <c r="Q24" s="28">
        <f>'Basic inputs'!$E$56</f>
        <v>40</v>
      </c>
      <c r="R24" s="28">
        <f>'Basic inputs'!$E$56</f>
        <v>40</v>
      </c>
      <c r="S24" s="28">
        <f>'Basic inputs'!$E$56</f>
        <v>40</v>
      </c>
      <c r="T24" s="28">
        <f>'Basic inputs'!$E$56</f>
        <v>40</v>
      </c>
      <c r="U24" s="28">
        <f>'Basic inputs'!$E$56</f>
        <v>40</v>
      </c>
      <c r="V24" s="28">
        <f>'Basic inputs'!$E$56</f>
        <v>40</v>
      </c>
      <c r="W24" s="28">
        <f>'Basic inputs'!$E$56</f>
        <v>40</v>
      </c>
      <c r="X24" s="28">
        <f>'Basic inputs'!$E$56</f>
        <v>40</v>
      </c>
      <c r="Y24" s="28">
        <f>'Basic inputs'!$E$56</f>
        <v>40</v>
      </c>
      <c r="Z24" s="28">
        <f>'Basic inputs'!$E$56</f>
        <v>40</v>
      </c>
      <c r="AA24" s="28">
        <f>'Basic inputs'!$E$56</f>
        <v>40</v>
      </c>
      <c r="AB24" s="28">
        <f>'Basic inputs'!$E$56</f>
        <v>40</v>
      </c>
      <c r="AC24" s="63"/>
      <c r="AD24" s="28">
        <f>'Basic inputs'!$E$56</f>
        <v>40</v>
      </c>
      <c r="AE24" s="28">
        <f>'Basic inputs'!$E$56</f>
        <v>40</v>
      </c>
      <c r="AF24" s="28">
        <f>'Basic inputs'!$E$56</f>
        <v>40</v>
      </c>
      <c r="AG24" s="28">
        <f>'Basic inputs'!$E$56</f>
        <v>40</v>
      </c>
      <c r="AH24" s="28">
        <f>'Basic inputs'!$E$56</f>
        <v>40</v>
      </c>
      <c r="AI24" s="28">
        <f>'Basic inputs'!$E$56</f>
        <v>40</v>
      </c>
      <c r="AJ24" s="28">
        <f>'Basic inputs'!$E$56</f>
        <v>40</v>
      </c>
      <c r="AK24" s="28">
        <f>'Basic inputs'!$E$56</f>
        <v>40</v>
      </c>
      <c r="AL24" s="28">
        <f>'Basic inputs'!$E$56</f>
        <v>40</v>
      </c>
      <c r="AM24" s="28">
        <f>'Basic inputs'!$E$56</f>
        <v>40</v>
      </c>
      <c r="AN24" s="28">
        <f>'Basic inputs'!$E$56</f>
        <v>40</v>
      </c>
      <c r="AO24" s="28">
        <f>'Basic inputs'!$E$56</f>
        <v>40</v>
      </c>
    </row>
    <row r="25" spans="1:41">
      <c r="B25" s="172" t="s">
        <v>15</v>
      </c>
      <c r="C25" s="48"/>
      <c r="D25" s="28">
        <f>IF('Basic inputs'!$D$13&gt;0,'Basic inputs'!$E$57,'Basic inputs'!$E$58)</f>
        <v>20</v>
      </c>
      <c r="E25" s="28">
        <f>IF('Basic inputs'!$D$13&gt;0,'Basic inputs'!$E$57,'Basic inputs'!$E$58)</f>
        <v>20</v>
      </c>
      <c r="F25" s="28">
        <f>IF('Basic inputs'!$D$13&gt;0,'Basic inputs'!$E$57,'Basic inputs'!$E$58)</f>
        <v>20</v>
      </c>
      <c r="G25" s="28">
        <f>IF('Basic inputs'!$D$13&gt;0,'Basic inputs'!$E$57,'Basic inputs'!$E$58)</f>
        <v>20</v>
      </c>
      <c r="H25" s="28">
        <f>IF('Basic inputs'!$D$13&gt;0,'Basic inputs'!$E$57,'Basic inputs'!$E$58)</f>
        <v>20</v>
      </c>
      <c r="I25" s="28">
        <f>IF('Basic inputs'!$D$13&gt;0,'Basic inputs'!$E$57,'Basic inputs'!$E$58)</f>
        <v>20</v>
      </c>
      <c r="J25" s="28">
        <f>IF('Basic inputs'!$D$13&gt;0,'Basic inputs'!$E$57,'Basic inputs'!$E$58)</f>
        <v>20</v>
      </c>
      <c r="K25" s="28">
        <f>IF('Basic inputs'!$D$13&gt;0,'Basic inputs'!$E$57,'Basic inputs'!$E$58)</f>
        <v>20</v>
      </c>
      <c r="L25" s="28">
        <f>IF('Basic inputs'!$D$13&gt;0,'Basic inputs'!$E$57,'Basic inputs'!$E$58)</f>
        <v>20</v>
      </c>
      <c r="M25" s="28">
        <f>IF('Basic inputs'!$D$13&gt;0,'Basic inputs'!$E$57,'Basic inputs'!$E$58)</f>
        <v>20</v>
      </c>
      <c r="N25" s="28">
        <f>IF('Basic inputs'!$D$13&gt;0,'Basic inputs'!$E$57,'Basic inputs'!$E$58)</f>
        <v>20</v>
      </c>
      <c r="O25" s="28">
        <f>IF('Basic inputs'!$D$13&gt;0,'Basic inputs'!$E$57,'Basic inputs'!$E$58)</f>
        <v>20</v>
      </c>
      <c r="P25" s="63"/>
      <c r="Q25" s="28">
        <f>IF('Basic inputs'!$D$13&gt;0,'Basic inputs'!$E$57,'Basic inputs'!$E$58)</f>
        <v>20</v>
      </c>
      <c r="R25" s="28">
        <f>IF('Basic inputs'!$D$13&gt;0,'Basic inputs'!$E$57,'Basic inputs'!$E$58)</f>
        <v>20</v>
      </c>
      <c r="S25" s="28">
        <f>IF('Basic inputs'!$D$13&gt;0,'Basic inputs'!$E$57,'Basic inputs'!$E$58)</f>
        <v>20</v>
      </c>
      <c r="T25" s="28">
        <f>IF('Basic inputs'!$D$13&gt;0,'Basic inputs'!$E$57,'Basic inputs'!$E$58)</f>
        <v>20</v>
      </c>
      <c r="U25" s="28">
        <f>IF('Basic inputs'!$D$13&gt;0,'Basic inputs'!$E$57,'Basic inputs'!$E$58)</f>
        <v>20</v>
      </c>
      <c r="V25" s="28">
        <f>IF('Basic inputs'!$D$13&gt;0,'Basic inputs'!$E$57,'Basic inputs'!$E$58)</f>
        <v>20</v>
      </c>
      <c r="W25" s="28">
        <f>IF('Basic inputs'!$D$13&gt;0,'Basic inputs'!$E$57,'Basic inputs'!$E$58)</f>
        <v>20</v>
      </c>
      <c r="X25" s="28">
        <f>IF('Basic inputs'!$D$13&gt;0,'Basic inputs'!$E$57,'Basic inputs'!$E$58)</f>
        <v>20</v>
      </c>
      <c r="Y25" s="28">
        <f>IF('Basic inputs'!$D$13&gt;0,'Basic inputs'!$E$57,'Basic inputs'!$E$58)</f>
        <v>20</v>
      </c>
      <c r="Z25" s="28">
        <f>IF('Basic inputs'!$D$13&gt;0,'Basic inputs'!$E$57,'Basic inputs'!$E$58)</f>
        <v>20</v>
      </c>
      <c r="AA25" s="28">
        <f>IF('Basic inputs'!$D$13&gt;0,'Basic inputs'!$E$57,'Basic inputs'!$E$58)</f>
        <v>20</v>
      </c>
      <c r="AB25" s="28">
        <f>IF('Basic inputs'!$D$13&gt;0,'Basic inputs'!$E$57,'Basic inputs'!$E$58)</f>
        <v>20</v>
      </c>
      <c r="AC25" s="63"/>
      <c r="AD25" s="28">
        <f>IF('Basic inputs'!$D$13&gt;0,'Basic inputs'!$E$57,'Basic inputs'!$E$58)</f>
        <v>20</v>
      </c>
      <c r="AE25" s="28">
        <f>IF('Basic inputs'!$D$13&gt;0,'Basic inputs'!$E$57,'Basic inputs'!$E$58)</f>
        <v>20</v>
      </c>
      <c r="AF25" s="28">
        <f>IF('Basic inputs'!$D$13&gt;0,'Basic inputs'!$E$57,'Basic inputs'!$E$58)</f>
        <v>20</v>
      </c>
      <c r="AG25" s="28">
        <f>IF('Basic inputs'!$D$13&gt;0,'Basic inputs'!$E$57,'Basic inputs'!$E$58)</f>
        <v>20</v>
      </c>
      <c r="AH25" s="28">
        <f>IF('Basic inputs'!$D$13&gt;0,'Basic inputs'!$E$57,'Basic inputs'!$E$58)</f>
        <v>20</v>
      </c>
      <c r="AI25" s="28">
        <f>IF('Basic inputs'!$D$13&gt;0,'Basic inputs'!$E$57,'Basic inputs'!$E$58)</f>
        <v>20</v>
      </c>
      <c r="AJ25" s="28">
        <f>IF('Basic inputs'!$D$13&gt;0,'Basic inputs'!$E$57,'Basic inputs'!$E$58)</f>
        <v>20</v>
      </c>
      <c r="AK25" s="28">
        <f>IF('Basic inputs'!$D$13&gt;0,'Basic inputs'!$E$57,'Basic inputs'!$E$58)</f>
        <v>20</v>
      </c>
      <c r="AL25" s="28">
        <f>IF('Basic inputs'!$D$13&gt;0,'Basic inputs'!$E$57,'Basic inputs'!$E$58)</f>
        <v>20</v>
      </c>
      <c r="AM25" s="28">
        <f>IF('Basic inputs'!$D$13&gt;0,'Basic inputs'!$E$57,'Basic inputs'!$E$58)</f>
        <v>20</v>
      </c>
      <c r="AN25" s="28">
        <f>IF('Basic inputs'!$D$13&gt;0,'Basic inputs'!$E$57,'Basic inputs'!$E$58)</f>
        <v>20</v>
      </c>
      <c r="AO25" s="28">
        <f>IF('Basic inputs'!$D$13&gt;0,'Basic inputs'!$E$57,'Basic inputs'!$E$58)</f>
        <v>20</v>
      </c>
    </row>
    <row r="26" spans="1:41">
      <c r="B26" s="172" t="s">
        <v>16</v>
      </c>
      <c r="C26" s="48"/>
      <c r="D26" s="28">
        <f>'Basic inputs'!$E$60</f>
        <v>0</v>
      </c>
      <c r="E26" s="28">
        <f>'Basic inputs'!$E$60</f>
        <v>0</v>
      </c>
      <c r="F26" s="28">
        <f>'Basic inputs'!$E$60</f>
        <v>0</v>
      </c>
      <c r="G26" s="28">
        <f>'Basic inputs'!$E$60</f>
        <v>0</v>
      </c>
      <c r="H26" s="28">
        <f>'Basic inputs'!$E$60</f>
        <v>0</v>
      </c>
      <c r="I26" s="28">
        <f>'Basic inputs'!$E$60</f>
        <v>0</v>
      </c>
      <c r="J26" s="28">
        <f>'Basic inputs'!$E$60</f>
        <v>0</v>
      </c>
      <c r="K26" s="28">
        <f>'Basic inputs'!$E$60</f>
        <v>0</v>
      </c>
      <c r="L26" s="28">
        <f>'Basic inputs'!$E$60</f>
        <v>0</v>
      </c>
      <c r="M26" s="28">
        <f>'Basic inputs'!$E$60</f>
        <v>0</v>
      </c>
      <c r="N26" s="28">
        <f>'Basic inputs'!$E$60</f>
        <v>0</v>
      </c>
      <c r="O26" s="28">
        <f>'Basic inputs'!$E$60</f>
        <v>0</v>
      </c>
      <c r="P26" s="63"/>
      <c r="Q26" s="28">
        <f>'Basic inputs'!O60</f>
        <v>0</v>
      </c>
      <c r="R26" s="28">
        <f>'Basic inputs'!P60</f>
        <v>0</v>
      </c>
      <c r="S26" s="28">
        <f>'Basic inputs'!Q60</f>
        <v>0</v>
      </c>
      <c r="T26" s="28">
        <f>'Basic inputs'!R60</f>
        <v>0</v>
      </c>
      <c r="U26" s="28">
        <f>'Basic inputs'!S60</f>
        <v>0</v>
      </c>
      <c r="V26" s="28">
        <f>'Basic inputs'!T60</f>
        <v>0</v>
      </c>
      <c r="W26" s="28">
        <f>'Basic inputs'!U60</f>
        <v>0</v>
      </c>
      <c r="X26" s="28">
        <f>'Basic inputs'!V60</f>
        <v>0</v>
      </c>
      <c r="Y26" s="28">
        <f>'Basic inputs'!W60</f>
        <v>0</v>
      </c>
      <c r="Z26" s="28">
        <f>'Basic inputs'!X60</f>
        <v>0</v>
      </c>
      <c r="AA26" s="28">
        <f>'Basic inputs'!Y60</f>
        <v>0</v>
      </c>
      <c r="AB26" s="28">
        <f>'Basic inputs'!Z60</f>
        <v>0</v>
      </c>
      <c r="AC26" s="63"/>
      <c r="AD26" s="28">
        <f>'Basic inputs'!AA60</f>
        <v>0</v>
      </c>
      <c r="AE26" s="28">
        <f>'Basic inputs'!AB60</f>
        <v>0</v>
      </c>
      <c r="AF26" s="28">
        <f>'Basic inputs'!AC60</f>
        <v>0</v>
      </c>
      <c r="AG26" s="28">
        <f>'Basic inputs'!AD60</f>
        <v>0</v>
      </c>
      <c r="AH26" s="28">
        <f>'Basic inputs'!AE60</f>
        <v>0</v>
      </c>
      <c r="AI26" s="28">
        <f>'Basic inputs'!AF60</f>
        <v>0</v>
      </c>
      <c r="AJ26" s="28">
        <f>'Basic inputs'!AG60</f>
        <v>0</v>
      </c>
      <c r="AK26" s="28">
        <f>'Basic inputs'!AH60</f>
        <v>0</v>
      </c>
      <c r="AL26" s="28">
        <f>'Basic inputs'!AI60</f>
        <v>0</v>
      </c>
      <c r="AM26" s="28">
        <f>'Basic inputs'!AJ60</f>
        <v>0</v>
      </c>
      <c r="AN26" s="28">
        <f>'Basic inputs'!AK60</f>
        <v>0</v>
      </c>
      <c r="AO26" s="28">
        <f>'Basic inputs'!AL60</f>
        <v>0</v>
      </c>
    </row>
    <row r="27" spans="1:41">
      <c r="B27" s="171" t="s">
        <v>18</v>
      </c>
      <c r="C27" s="48"/>
      <c r="D27" s="28">
        <f>'Basic inputs'!$E$61</f>
        <v>0</v>
      </c>
      <c r="E27" s="28">
        <f>'Basic inputs'!$E$61</f>
        <v>0</v>
      </c>
      <c r="F27" s="28">
        <f>'Basic inputs'!$E$61</f>
        <v>0</v>
      </c>
      <c r="G27" s="28">
        <f>'Basic inputs'!$E$61</f>
        <v>0</v>
      </c>
      <c r="H27" s="28">
        <f>'Basic inputs'!$E$61</f>
        <v>0</v>
      </c>
      <c r="I27" s="28">
        <f>'Basic inputs'!$E$61</f>
        <v>0</v>
      </c>
      <c r="J27" s="28">
        <f>'Basic inputs'!$E$61</f>
        <v>0</v>
      </c>
      <c r="K27" s="28">
        <f>'Basic inputs'!$E$61</f>
        <v>0</v>
      </c>
      <c r="L27" s="28">
        <f>'Basic inputs'!$E$61</f>
        <v>0</v>
      </c>
      <c r="M27" s="28">
        <f>'Basic inputs'!$E$61</f>
        <v>0</v>
      </c>
      <c r="N27" s="28">
        <f>'Basic inputs'!$E$61</f>
        <v>0</v>
      </c>
      <c r="O27" s="28">
        <f>'Basic inputs'!$E$61</f>
        <v>0</v>
      </c>
      <c r="P27" s="63"/>
      <c r="Q27" s="28">
        <f>'Basic inputs'!$E$61</f>
        <v>0</v>
      </c>
      <c r="R27" s="28">
        <f>'Basic inputs'!$E$61</f>
        <v>0</v>
      </c>
      <c r="S27" s="28">
        <f>'Basic inputs'!$E$61</f>
        <v>0</v>
      </c>
      <c r="T27" s="28">
        <f>'Basic inputs'!$E$61</f>
        <v>0</v>
      </c>
      <c r="U27" s="28">
        <f>'Basic inputs'!$E$61</f>
        <v>0</v>
      </c>
      <c r="V27" s="28">
        <f>'Basic inputs'!$E$61</f>
        <v>0</v>
      </c>
      <c r="W27" s="28">
        <f>'Basic inputs'!$E$61</f>
        <v>0</v>
      </c>
      <c r="X27" s="28">
        <f>'Basic inputs'!$E$61</f>
        <v>0</v>
      </c>
      <c r="Y27" s="28">
        <f>'Basic inputs'!$E$61</f>
        <v>0</v>
      </c>
      <c r="Z27" s="28">
        <f>'Basic inputs'!$E$61</f>
        <v>0</v>
      </c>
      <c r="AA27" s="28">
        <f>'Basic inputs'!$E$61</f>
        <v>0</v>
      </c>
      <c r="AB27" s="28">
        <f>'Basic inputs'!$E$61</f>
        <v>0</v>
      </c>
      <c r="AC27" s="63"/>
      <c r="AD27" s="28">
        <f>'Basic inputs'!$E$61</f>
        <v>0</v>
      </c>
      <c r="AE27" s="28">
        <f>'Basic inputs'!$E$61</f>
        <v>0</v>
      </c>
      <c r="AF27" s="28">
        <f>'Basic inputs'!$E$61</f>
        <v>0</v>
      </c>
      <c r="AG27" s="28">
        <f>'Basic inputs'!$E$61</f>
        <v>0</v>
      </c>
      <c r="AH27" s="28">
        <f>'Basic inputs'!$E$61</f>
        <v>0</v>
      </c>
      <c r="AI27" s="28">
        <f>'Basic inputs'!$E$61</f>
        <v>0</v>
      </c>
      <c r="AJ27" s="28">
        <f>'Basic inputs'!$E$61</f>
        <v>0</v>
      </c>
      <c r="AK27" s="28">
        <f>'Basic inputs'!$E$61</f>
        <v>0</v>
      </c>
      <c r="AL27" s="28">
        <f>'Basic inputs'!$E$61</f>
        <v>0</v>
      </c>
      <c r="AM27" s="28">
        <f>'Basic inputs'!$E$61</f>
        <v>0</v>
      </c>
      <c r="AN27" s="28">
        <f>'Basic inputs'!$E$61</f>
        <v>0</v>
      </c>
      <c r="AO27" s="28">
        <f>'Basic inputs'!$E$61</f>
        <v>0</v>
      </c>
    </row>
    <row r="28" spans="1:41">
      <c r="B28" s="171" t="s">
        <v>19</v>
      </c>
      <c r="C28" s="48"/>
      <c r="D28" s="28">
        <f>'Basic inputs'!$E$63</f>
        <v>0</v>
      </c>
      <c r="E28" s="28">
        <f>'Basic inputs'!$E$63</f>
        <v>0</v>
      </c>
      <c r="F28" s="28">
        <f>'Basic inputs'!$E$63</f>
        <v>0</v>
      </c>
      <c r="G28" s="28">
        <f>'Basic inputs'!$E$63</f>
        <v>0</v>
      </c>
      <c r="H28" s="28">
        <f>'Basic inputs'!$E$63</f>
        <v>0</v>
      </c>
      <c r="I28" s="28">
        <f>'Basic inputs'!$E$63</f>
        <v>0</v>
      </c>
      <c r="J28" s="28">
        <f>'Basic inputs'!$E$63</f>
        <v>0</v>
      </c>
      <c r="K28" s="28">
        <f>'Basic inputs'!$E$63</f>
        <v>0</v>
      </c>
      <c r="L28" s="28">
        <f>'Basic inputs'!$E$63</f>
        <v>0</v>
      </c>
      <c r="M28" s="28">
        <f>'Basic inputs'!$E$63</f>
        <v>0</v>
      </c>
      <c r="N28" s="28">
        <f>'Basic inputs'!$E$63</f>
        <v>0</v>
      </c>
      <c r="O28" s="28">
        <f>'Basic inputs'!$E$63</f>
        <v>0</v>
      </c>
      <c r="P28" s="63"/>
      <c r="Q28" s="28">
        <f>'Basic inputs'!$E$63</f>
        <v>0</v>
      </c>
      <c r="R28" s="28">
        <f>'Basic inputs'!$E$63</f>
        <v>0</v>
      </c>
      <c r="S28" s="28">
        <f>'Basic inputs'!$E$63</f>
        <v>0</v>
      </c>
      <c r="T28" s="28">
        <f>'Basic inputs'!$E$63</f>
        <v>0</v>
      </c>
      <c r="U28" s="28">
        <f>'Basic inputs'!$E$63</f>
        <v>0</v>
      </c>
      <c r="V28" s="28">
        <f>'Basic inputs'!$E$63</f>
        <v>0</v>
      </c>
      <c r="W28" s="28">
        <f>'Basic inputs'!$E$63</f>
        <v>0</v>
      </c>
      <c r="X28" s="28">
        <f>'Basic inputs'!$E$63</f>
        <v>0</v>
      </c>
      <c r="Y28" s="28">
        <f>'Basic inputs'!$E$63</f>
        <v>0</v>
      </c>
      <c r="Z28" s="28">
        <f>'Basic inputs'!$E$63</f>
        <v>0</v>
      </c>
      <c r="AA28" s="28">
        <f>'Basic inputs'!$E$63</f>
        <v>0</v>
      </c>
      <c r="AB28" s="28">
        <f>'Basic inputs'!$E$63</f>
        <v>0</v>
      </c>
      <c r="AC28" s="63"/>
      <c r="AD28" s="28">
        <f>'Basic inputs'!$E$63</f>
        <v>0</v>
      </c>
      <c r="AE28" s="28">
        <f>'Basic inputs'!$E$63</f>
        <v>0</v>
      </c>
      <c r="AF28" s="28">
        <f>'Basic inputs'!$E$63</f>
        <v>0</v>
      </c>
      <c r="AG28" s="28">
        <f>'Basic inputs'!$E$63</f>
        <v>0</v>
      </c>
      <c r="AH28" s="28">
        <f>'Basic inputs'!$E$63</f>
        <v>0</v>
      </c>
      <c r="AI28" s="28">
        <f>'Basic inputs'!$E$63</f>
        <v>0</v>
      </c>
      <c r="AJ28" s="28">
        <f>'Basic inputs'!$E$63</f>
        <v>0</v>
      </c>
      <c r="AK28" s="28">
        <f>'Basic inputs'!$E$63</f>
        <v>0</v>
      </c>
      <c r="AL28" s="28">
        <f>'Basic inputs'!$E$63</f>
        <v>0</v>
      </c>
      <c r="AM28" s="28">
        <f>'Basic inputs'!$E$63</f>
        <v>0</v>
      </c>
      <c r="AN28" s="28">
        <f>'Basic inputs'!$E$63</f>
        <v>0</v>
      </c>
      <c r="AO28" s="28">
        <f>'Basic inputs'!$E$63</f>
        <v>0</v>
      </c>
    </row>
    <row r="29" spans="1:41">
      <c r="B29" s="171" t="s">
        <v>1</v>
      </c>
      <c r="C29" s="48"/>
      <c r="D29" s="28">
        <f>IF('Basic inputs'!$E$46 = "yes", 'Basic inputs'!$E$47,0)</f>
        <v>0</v>
      </c>
      <c r="E29" s="28">
        <v>0</v>
      </c>
      <c r="F29" s="28">
        <v>0</v>
      </c>
      <c r="G29" s="28">
        <v>0</v>
      </c>
      <c r="H29" s="28">
        <v>0</v>
      </c>
      <c r="I29" s="28">
        <v>0</v>
      </c>
      <c r="J29" s="28">
        <v>0</v>
      </c>
      <c r="K29" s="28">
        <v>0</v>
      </c>
      <c r="L29" s="28">
        <v>0</v>
      </c>
      <c r="M29" s="28">
        <v>0</v>
      </c>
      <c r="N29" s="28">
        <v>0</v>
      </c>
      <c r="O29" s="28">
        <v>0</v>
      </c>
      <c r="P29" s="63"/>
      <c r="Q29" s="28">
        <v>0</v>
      </c>
      <c r="R29" s="28">
        <v>0</v>
      </c>
      <c r="S29" s="28">
        <v>0</v>
      </c>
      <c r="T29" s="28">
        <v>0</v>
      </c>
      <c r="U29" s="28">
        <v>0</v>
      </c>
      <c r="V29" s="28">
        <v>0</v>
      </c>
      <c r="W29" s="28">
        <v>0</v>
      </c>
      <c r="X29" s="28">
        <v>0</v>
      </c>
      <c r="Y29" s="28">
        <v>0</v>
      </c>
      <c r="Z29" s="28">
        <v>0</v>
      </c>
      <c r="AA29" s="28">
        <v>0</v>
      </c>
      <c r="AB29" s="28">
        <v>0</v>
      </c>
      <c r="AC29" s="63"/>
      <c r="AD29" s="28">
        <v>0</v>
      </c>
      <c r="AE29" s="28">
        <v>0</v>
      </c>
      <c r="AF29" s="28">
        <v>0</v>
      </c>
      <c r="AG29" s="28">
        <v>0</v>
      </c>
      <c r="AH29" s="28">
        <v>0</v>
      </c>
      <c r="AI29" s="28">
        <v>0</v>
      </c>
      <c r="AJ29" s="28">
        <v>0</v>
      </c>
      <c r="AK29" s="28">
        <v>0</v>
      </c>
      <c r="AL29" s="28">
        <v>0</v>
      </c>
      <c r="AM29" s="28">
        <v>0</v>
      </c>
      <c r="AN29" s="28">
        <v>0</v>
      </c>
      <c r="AO29" s="28">
        <v>0</v>
      </c>
    </row>
    <row r="30" spans="1:41">
      <c r="B30" s="171" t="s">
        <v>219</v>
      </c>
      <c r="C30" s="48"/>
      <c r="D30" s="28">
        <f>IF('Basic inputs'!$E$46 = "yes", 'Basic inputs'!$E$78,0)</f>
        <v>0</v>
      </c>
      <c r="E30" s="28">
        <f>IF('Basic inputs'!$E$46 = "yes", 'Basic inputs'!$E$78,0)</f>
        <v>0</v>
      </c>
      <c r="F30" s="28">
        <f>IF('Basic inputs'!$E$46 = "yes", 'Basic inputs'!$E$78,0)</f>
        <v>0</v>
      </c>
      <c r="G30" s="28">
        <f>IF('Basic inputs'!$E$46 = "yes", 'Basic inputs'!$E$78,0)</f>
        <v>0</v>
      </c>
      <c r="H30" s="28">
        <f>IF('Basic inputs'!$E$46 = "yes", 'Basic inputs'!$E$78,0)</f>
        <v>0</v>
      </c>
      <c r="I30" s="28">
        <f>IF('Basic inputs'!$E$46 = "yes", 'Basic inputs'!$E$78,0)</f>
        <v>0</v>
      </c>
      <c r="J30" s="28">
        <f>IF('Basic inputs'!$E$46 = "yes", 'Basic inputs'!$E$78,0)</f>
        <v>0</v>
      </c>
      <c r="K30" s="28">
        <f>IF('Basic inputs'!$E$46 = "yes", 'Basic inputs'!$E$78,0)</f>
        <v>0</v>
      </c>
      <c r="L30" s="28">
        <f>IF('Basic inputs'!$E$46 = "yes", 'Basic inputs'!$E$78,0)</f>
        <v>0</v>
      </c>
      <c r="M30" s="28">
        <f>IF('Basic inputs'!$E$46 = "yes", 'Basic inputs'!$E$78,0)</f>
        <v>0</v>
      </c>
      <c r="N30" s="28">
        <f>IF('Basic inputs'!$E$46 = "yes", 'Basic inputs'!$E$78,0)</f>
        <v>0</v>
      </c>
      <c r="O30" s="28">
        <f>IF('Basic inputs'!$E$46 = "yes", 'Basic inputs'!$E$78,0)</f>
        <v>0</v>
      </c>
      <c r="P30" s="63"/>
      <c r="Q30" s="28">
        <f>IF('Basic inputs'!$E$46 = "yes", 'Basic inputs'!$E$78,0)</f>
        <v>0</v>
      </c>
      <c r="R30" s="28">
        <f>IF('Basic inputs'!$E$46 = "yes", 'Basic inputs'!$E$78,0)</f>
        <v>0</v>
      </c>
      <c r="S30" s="28">
        <f>IF('Basic inputs'!$E$46 = "yes", 'Basic inputs'!$E$78,0)</f>
        <v>0</v>
      </c>
      <c r="T30" s="28">
        <f>IF('Basic inputs'!$E$46 = "yes", 'Basic inputs'!$E$78,0)</f>
        <v>0</v>
      </c>
      <c r="U30" s="28">
        <f>IF('Basic inputs'!$E$46 = "yes", 'Basic inputs'!$E$78,0)</f>
        <v>0</v>
      </c>
      <c r="V30" s="28">
        <f>IF('Basic inputs'!$E$46 = "yes", 'Basic inputs'!$E$78,0)</f>
        <v>0</v>
      </c>
      <c r="W30" s="28">
        <f>IF('Basic inputs'!$E$46 = "yes", 'Basic inputs'!$E$78,0)</f>
        <v>0</v>
      </c>
      <c r="X30" s="28">
        <f>IF('Basic inputs'!$E$46 = "yes", 'Basic inputs'!$E$78,0)</f>
        <v>0</v>
      </c>
      <c r="Y30" s="28">
        <f>IF('Basic inputs'!$E$46 = "yes", 'Basic inputs'!$E$78,0)</f>
        <v>0</v>
      </c>
      <c r="Z30" s="28">
        <f>IF('Basic inputs'!$E$46 = "yes", 'Basic inputs'!$E$78,0)</f>
        <v>0</v>
      </c>
      <c r="AA30" s="28">
        <f>IF('Basic inputs'!$E$46 = "yes", 'Basic inputs'!$E$78,0)</f>
        <v>0</v>
      </c>
      <c r="AB30" s="28">
        <f>IF('Basic inputs'!$E$46 = "yes", 'Basic inputs'!$E$78,0)</f>
        <v>0</v>
      </c>
      <c r="AC30" s="63"/>
      <c r="AD30" s="28">
        <f>IF('Basic inputs'!$E$46 = "yes", 'Basic inputs'!$E$78,0)</f>
        <v>0</v>
      </c>
      <c r="AE30" s="28">
        <f>IF('Basic inputs'!$E$46 = "yes", 'Basic inputs'!$E$78,0)</f>
        <v>0</v>
      </c>
      <c r="AF30" s="28">
        <f>IF('Basic inputs'!$E$46 = "yes", 'Basic inputs'!$E$78,0)</f>
        <v>0</v>
      </c>
      <c r="AG30" s="28">
        <f>IF('Basic inputs'!$E$46 = "yes", 'Basic inputs'!$E$78,0)</f>
        <v>0</v>
      </c>
      <c r="AH30" s="28">
        <f>IF('Basic inputs'!$E$46 = "yes", 'Basic inputs'!$E$78,0)</f>
        <v>0</v>
      </c>
      <c r="AI30" s="28">
        <f>IF('Basic inputs'!$E$46 = "yes", 'Basic inputs'!$E$78,0)</f>
        <v>0</v>
      </c>
      <c r="AJ30" s="28">
        <f>IF('Basic inputs'!$E$46 = "yes", 'Basic inputs'!$E$78,0)</f>
        <v>0</v>
      </c>
      <c r="AK30" s="28">
        <f>IF('Basic inputs'!$E$46 = "yes", 'Basic inputs'!$E$78,0)</f>
        <v>0</v>
      </c>
      <c r="AL30" s="28">
        <f>IF('Basic inputs'!$E$46 = "yes", 'Basic inputs'!$E$78,0)</f>
        <v>0</v>
      </c>
      <c r="AM30" s="28">
        <f>IF('Basic inputs'!$E$46 = "yes", 'Basic inputs'!$E$78,0)</f>
        <v>0</v>
      </c>
      <c r="AN30" s="28">
        <f>IF('Basic inputs'!$E$46 = "yes", 'Basic inputs'!$E$78,0)</f>
        <v>0</v>
      </c>
      <c r="AO30" s="28">
        <f>IF('Basic inputs'!$E$46 = "yes", 'Basic inputs'!$E$78,0)</f>
        <v>0</v>
      </c>
    </row>
    <row r="31" spans="1:41">
      <c r="B31" s="171" t="s">
        <v>317</v>
      </c>
      <c r="C31" s="48"/>
      <c r="D31" s="28">
        <f>IF('Basic inputs'!$E$75="public transportation",'Basic inputs'!$E$76,0)</f>
        <v>163.80000000000001</v>
      </c>
      <c r="E31" s="28">
        <f>IF('Basic inputs'!$E$75="public transportation",'Basic inputs'!$E$76,0)</f>
        <v>163.80000000000001</v>
      </c>
      <c r="F31" s="28">
        <f>IF('Basic inputs'!$E$75="public transportation",'Basic inputs'!$E$76,0)</f>
        <v>163.80000000000001</v>
      </c>
      <c r="G31" s="28">
        <f>IF('Basic inputs'!$E$75="public transportation",'Basic inputs'!$E$76,0)</f>
        <v>163.80000000000001</v>
      </c>
      <c r="H31" s="28">
        <f>IF('Basic inputs'!$E$75="public transportation",'Basic inputs'!$E$76,0)</f>
        <v>163.80000000000001</v>
      </c>
      <c r="I31" s="28">
        <f>IF('Basic inputs'!$E$75="public transportation",'Basic inputs'!$E$76,0)</f>
        <v>163.80000000000001</v>
      </c>
      <c r="J31" s="28">
        <f>IF('Basic inputs'!$E$75="public transportation",'Basic inputs'!$E$76,0)</f>
        <v>163.80000000000001</v>
      </c>
      <c r="K31" s="28">
        <f>IF('Basic inputs'!$E$75="public transportation",'Basic inputs'!$E$76,0)</f>
        <v>163.80000000000001</v>
      </c>
      <c r="L31" s="28">
        <f>IF('Basic inputs'!$E$75="public transportation",'Basic inputs'!$E$76,0)</f>
        <v>163.80000000000001</v>
      </c>
      <c r="M31" s="28">
        <f>IF('Basic inputs'!$E$75="public transportation",'Basic inputs'!$E$76,0)</f>
        <v>163.80000000000001</v>
      </c>
      <c r="N31" s="28">
        <f>IF('Basic inputs'!$E$75="public transportation",'Basic inputs'!$E$76,0)</f>
        <v>163.80000000000001</v>
      </c>
      <c r="O31" s="28">
        <f>IF('Basic inputs'!$E$75="public transportation",'Basic inputs'!$E$76,0)</f>
        <v>163.80000000000001</v>
      </c>
      <c r="P31" s="63"/>
      <c r="Q31" s="28">
        <f>IF('Basic inputs'!$E$75="public transportation",'Basic inputs'!$E$76,0)</f>
        <v>163.80000000000001</v>
      </c>
      <c r="R31" s="28">
        <f>IF('Basic inputs'!$E$75="public transportation",'Basic inputs'!$E$76,0)</f>
        <v>163.80000000000001</v>
      </c>
      <c r="S31" s="28">
        <f>IF('Basic inputs'!$E$75="public transportation",'Basic inputs'!$E$76,0)</f>
        <v>163.80000000000001</v>
      </c>
      <c r="T31" s="28">
        <f>IF('Basic inputs'!$E$75="public transportation",'Basic inputs'!$E$76,0)</f>
        <v>163.80000000000001</v>
      </c>
      <c r="U31" s="28">
        <f>IF('Basic inputs'!$E$75="public transportation",'Basic inputs'!$E$76,0)</f>
        <v>163.80000000000001</v>
      </c>
      <c r="V31" s="28">
        <f>IF('Basic inputs'!$E$75="public transportation",'Basic inputs'!$E$76,0)</f>
        <v>163.80000000000001</v>
      </c>
      <c r="W31" s="28">
        <f>IF('Basic inputs'!$E$75="public transportation",'Basic inputs'!$E$76,0)</f>
        <v>163.80000000000001</v>
      </c>
      <c r="X31" s="28">
        <f>IF('Basic inputs'!$E$75="public transportation",'Basic inputs'!$E$76,0)</f>
        <v>163.80000000000001</v>
      </c>
      <c r="Y31" s="28">
        <f>IF('Basic inputs'!$E$75="public transportation",'Basic inputs'!$E$76,0)</f>
        <v>163.80000000000001</v>
      </c>
      <c r="Z31" s="28">
        <f>IF('Basic inputs'!$E$75="public transportation",'Basic inputs'!$E$76,0)</f>
        <v>163.80000000000001</v>
      </c>
      <c r="AA31" s="28">
        <f>IF('Basic inputs'!$E$75="public transportation",'Basic inputs'!$E$76,0)</f>
        <v>163.80000000000001</v>
      </c>
      <c r="AB31" s="28">
        <f>IF('Basic inputs'!$E$75="public transportation",'Basic inputs'!$E$76,0)</f>
        <v>163.80000000000001</v>
      </c>
      <c r="AC31" s="63"/>
      <c r="AD31" s="28">
        <f>IF('Basic inputs'!$E$75="public transportation",'Basic inputs'!$E$76,0)</f>
        <v>163.80000000000001</v>
      </c>
      <c r="AE31" s="28">
        <f>IF('Basic inputs'!$E$75="public transportation",'Basic inputs'!$E$76,0)</f>
        <v>163.80000000000001</v>
      </c>
      <c r="AF31" s="28">
        <f>IF('Basic inputs'!$E$75="public transportation",'Basic inputs'!$E$76,0)</f>
        <v>163.80000000000001</v>
      </c>
      <c r="AG31" s="28">
        <f>IF('Basic inputs'!$E$75="public transportation",'Basic inputs'!$E$76,0)</f>
        <v>163.80000000000001</v>
      </c>
      <c r="AH31" s="28">
        <f>IF('Basic inputs'!$E$75="public transportation",'Basic inputs'!$E$76,0)</f>
        <v>163.80000000000001</v>
      </c>
      <c r="AI31" s="28">
        <f>IF('Basic inputs'!$E$75="public transportation",'Basic inputs'!$E$76,0)</f>
        <v>163.80000000000001</v>
      </c>
      <c r="AJ31" s="28">
        <f>IF('Basic inputs'!$E$75="public transportation",'Basic inputs'!$E$76,0)</f>
        <v>163.80000000000001</v>
      </c>
      <c r="AK31" s="28">
        <f>IF('Basic inputs'!$E$75="public transportation",'Basic inputs'!$E$76,0)</f>
        <v>163.80000000000001</v>
      </c>
      <c r="AL31" s="28">
        <f>IF('Basic inputs'!$E$75="public transportation",'Basic inputs'!$E$76,0)</f>
        <v>163.80000000000001</v>
      </c>
      <c r="AM31" s="28">
        <f>IF('Basic inputs'!$E$75="public transportation",'Basic inputs'!$E$76,0)</f>
        <v>163.80000000000001</v>
      </c>
      <c r="AN31" s="28">
        <f>IF('Basic inputs'!$E$75="public transportation",'Basic inputs'!$E$76,0)</f>
        <v>163.80000000000001</v>
      </c>
      <c r="AO31" s="28">
        <f>IF('Basic inputs'!$E$75="public transportation",'Basic inputs'!$E$76,0)</f>
        <v>163.80000000000001</v>
      </c>
    </row>
    <row r="32" spans="1:41">
      <c r="B32" s="171" t="s">
        <v>345</v>
      </c>
      <c r="C32" s="48"/>
      <c r="D32" s="28">
        <f>IF('Basic inputs'!$E$75="car",'Basic inputs'!$E$77,0)</f>
        <v>0</v>
      </c>
      <c r="E32" s="28">
        <f>IF('Basic inputs'!$E$75="car",'Basic inputs'!$E$77,0)</f>
        <v>0</v>
      </c>
      <c r="F32" s="28">
        <f>IF('Basic inputs'!$E$75="car",'Basic inputs'!$E$77,0)</f>
        <v>0</v>
      </c>
      <c r="G32" s="28">
        <f>IF('Basic inputs'!$E$75="car",'Basic inputs'!$E$77,0)</f>
        <v>0</v>
      </c>
      <c r="H32" s="28">
        <f>IF('Basic inputs'!$E$75="car",'Basic inputs'!$E$77,0)</f>
        <v>0</v>
      </c>
      <c r="I32" s="28">
        <f>IF('Basic inputs'!$E$75="car",'Basic inputs'!$E$77,0)</f>
        <v>0</v>
      </c>
      <c r="J32" s="28">
        <f>IF('Basic inputs'!$E$75="car",'Basic inputs'!$E$77,0)</f>
        <v>0</v>
      </c>
      <c r="K32" s="28">
        <f>IF('Basic inputs'!$E$75="car",'Basic inputs'!$E$77,0)</f>
        <v>0</v>
      </c>
      <c r="L32" s="28">
        <f>IF('Basic inputs'!$E$75="car",'Basic inputs'!$E$77,0)</f>
        <v>0</v>
      </c>
      <c r="M32" s="28">
        <f>IF('Basic inputs'!$E$75="car",'Basic inputs'!$E$77,0)</f>
        <v>0</v>
      </c>
      <c r="N32" s="28">
        <f>IF('Basic inputs'!$E$75="car",'Basic inputs'!$E$77,0)</f>
        <v>0</v>
      </c>
      <c r="O32" s="28">
        <f>IF('Basic inputs'!$E$75="car",'Basic inputs'!$E$77,0)</f>
        <v>0</v>
      </c>
      <c r="P32" s="63"/>
      <c r="Q32" s="28">
        <f>IF('Basic inputs'!$E$75="car",'Basic inputs'!$E$77,0)</f>
        <v>0</v>
      </c>
      <c r="R32" s="28">
        <f>IF('Basic inputs'!$E$75="car",'Basic inputs'!$E$77,0)</f>
        <v>0</v>
      </c>
      <c r="S32" s="28">
        <f>IF('Basic inputs'!$E$75="car",'Basic inputs'!$E$77,0)</f>
        <v>0</v>
      </c>
      <c r="T32" s="28">
        <f>IF('Basic inputs'!$E$75="car",'Basic inputs'!$E$77,0)</f>
        <v>0</v>
      </c>
      <c r="U32" s="28">
        <f>IF('Basic inputs'!$E$75="car",'Basic inputs'!$E$77,0)</f>
        <v>0</v>
      </c>
      <c r="V32" s="28">
        <f>IF('Basic inputs'!$E$75="car",'Basic inputs'!$E$77,0)</f>
        <v>0</v>
      </c>
      <c r="W32" s="28">
        <f>IF('Basic inputs'!$E$75="car",'Basic inputs'!$E$77,0)</f>
        <v>0</v>
      </c>
      <c r="X32" s="28">
        <f>IF('Basic inputs'!$E$75="car",'Basic inputs'!$E$77,0)</f>
        <v>0</v>
      </c>
      <c r="Y32" s="28">
        <f>IF('Basic inputs'!$E$75="car",'Basic inputs'!$E$77,0)</f>
        <v>0</v>
      </c>
      <c r="Z32" s="28">
        <f>IF('Basic inputs'!$E$75="car",'Basic inputs'!$E$77,0)</f>
        <v>0</v>
      </c>
      <c r="AA32" s="28">
        <f>IF('Basic inputs'!$E$75="car",'Basic inputs'!$E$77,0)</f>
        <v>0</v>
      </c>
      <c r="AB32" s="28">
        <f>IF('Basic inputs'!$E$75="car",'Basic inputs'!$E$77,0)</f>
        <v>0</v>
      </c>
      <c r="AC32" s="63"/>
      <c r="AD32" s="28">
        <f>IF('Basic inputs'!$E$75="car",'Basic inputs'!$E$77,0)</f>
        <v>0</v>
      </c>
      <c r="AE32" s="28">
        <f>IF('Basic inputs'!$E$75="car",'Basic inputs'!$E$77,0)</f>
        <v>0</v>
      </c>
      <c r="AF32" s="28">
        <f>IF('Basic inputs'!$E$75="car",'Basic inputs'!$E$77,0)</f>
        <v>0</v>
      </c>
      <c r="AG32" s="28">
        <f>IF('Basic inputs'!$E$75="car",'Basic inputs'!$E$77,0)</f>
        <v>0</v>
      </c>
      <c r="AH32" s="28">
        <f>IF('Basic inputs'!$E$75="car",'Basic inputs'!$E$77,0)</f>
        <v>0</v>
      </c>
      <c r="AI32" s="28">
        <f>IF('Basic inputs'!$E$75="car",'Basic inputs'!$E$77,0)</f>
        <v>0</v>
      </c>
      <c r="AJ32" s="28">
        <f>IF('Basic inputs'!$E$75="car",'Basic inputs'!$E$77,0)</f>
        <v>0</v>
      </c>
      <c r="AK32" s="28">
        <f>IF('Basic inputs'!$E$75="car",'Basic inputs'!$E$77,0)</f>
        <v>0</v>
      </c>
      <c r="AL32" s="28">
        <f>IF('Basic inputs'!$E$75="car",'Basic inputs'!$E$77,0)</f>
        <v>0</v>
      </c>
      <c r="AM32" s="28">
        <f>IF('Basic inputs'!$E$75="car",'Basic inputs'!$E$77,0)</f>
        <v>0</v>
      </c>
      <c r="AN32" s="28">
        <f>IF('Basic inputs'!$E$75="car",'Basic inputs'!$E$77,0)</f>
        <v>0</v>
      </c>
      <c r="AO32" s="28">
        <f>IF('Basic inputs'!$E$75="car",'Basic inputs'!$E$77,0)</f>
        <v>0</v>
      </c>
    </row>
    <row r="33" spans="2:41">
      <c r="B33" s="171" t="s">
        <v>314</v>
      </c>
      <c r="C33" s="48"/>
      <c r="D33" s="28">
        <f>'Basic inputs'!$E$65</f>
        <v>0</v>
      </c>
      <c r="E33" s="28">
        <f>'Basic inputs'!$E$65</f>
        <v>0</v>
      </c>
      <c r="F33" s="28">
        <f>'Basic inputs'!$E$65</f>
        <v>0</v>
      </c>
      <c r="G33" s="28">
        <f>'Basic inputs'!$E$65</f>
        <v>0</v>
      </c>
      <c r="H33" s="28">
        <f>'Basic inputs'!$E$65</f>
        <v>0</v>
      </c>
      <c r="I33" s="28">
        <f>'Basic inputs'!$E$65</f>
        <v>0</v>
      </c>
      <c r="J33" s="28">
        <f>'Basic inputs'!$E$65</f>
        <v>0</v>
      </c>
      <c r="K33" s="28">
        <f>'Basic inputs'!$E$65</f>
        <v>0</v>
      </c>
      <c r="L33" s="28">
        <f>'Basic inputs'!$E$65</f>
        <v>0</v>
      </c>
      <c r="M33" s="28">
        <f>'Basic inputs'!$E$65</f>
        <v>0</v>
      </c>
      <c r="N33" s="28">
        <f>'Basic inputs'!$E$65</f>
        <v>0</v>
      </c>
      <c r="O33" s="28">
        <f>'Basic inputs'!$E$65</f>
        <v>0</v>
      </c>
      <c r="P33" s="63"/>
      <c r="Q33" s="28">
        <f>'Basic inputs'!$E$65</f>
        <v>0</v>
      </c>
      <c r="R33" s="28">
        <f>'Basic inputs'!$E$65</f>
        <v>0</v>
      </c>
      <c r="S33" s="28">
        <f>'Basic inputs'!$E$65</f>
        <v>0</v>
      </c>
      <c r="T33" s="28">
        <f>'Basic inputs'!$E$65</f>
        <v>0</v>
      </c>
      <c r="U33" s="28">
        <f>'Basic inputs'!$E$65</f>
        <v>0</v>
      </c>
      <c r="V33" s="28">
        <f>'Basic inputs'!$E$65</f>
        <v>0</v>
      </c>
      <c r="W33" s="28">
        <f>'Basic inputs'!$E$65</f>
        <v>0</v>
      </c>
      <c r="X33" s="28">
        <f>'Basic inputs'!$E$65</f>
        <v>0</v>
      </c>
      <c r="Y33" s="28">
        <f>'Basic inputs'!$E$65</f>
        <v>0</v>
      </c>
      <c r="Z33" s="28">
        <f>'Basic inputs'!$E$65</f>
        <v>0</v>
      </c>
      <c r="AA33" s="28">
        <f>'Basic inputs'!$E$65</f>
        <v>0</v>
      </c>
      <c r="AB33" s="28">
        <f>'Basic inputs'!$E$65</f>
        <v>0</v>
      </c>
      <c r="AC33" s="63"/>
      <c r="AD33" s="28">
        <f>'Basic inputs'!$E$65</f>
        <v>0</v>
      </c>
      <c r="AE33" s="28">
        <f>'Basic inputs'!$E$65</f>
        <v>0</v>
      </c>
      <c r="AF33" s="28">
        <f>'Basic inputs'!$E$65</f>
        <v>0</v>
      </c>
      <c r="AG33" s="28">
        <f>'Basic inputs'!$E$65</f>
        <v>0</v>
      </c>
      <c r="AH33" s="28">
        <f>'Basic inputs'!$E$65</f>
        <v>0</v>
      </c>
      <c r="AI33" s="28">
        <f>'Basic inputs'!$E$65</f>
        <v>0</v>
      </c>
      <c r="AJ33" s="28">
        <f>'Basic inputs'!$E$65</f>
        <v>0</v>
      </c>
      <c r="AK33" s="28">
        <f>'Basic inputs'!$E$65</f>
        <v>0</v>
      </c>
      <c r="AL33" s="28">
        <f>'Basic inputs'!$E$65</f>
        <v>0</v>
      </c>
      <c r="AM33" s="28">
        <f>'Basic inputs'!$E$65</f>
        <v>0</v>
      </c>
      <c r="AN33" s="28">
        <f>'Basic inputs'!$E$65</f>
        <v>0</v>
      </c>
      <c r="AO33" s="28">
        <f>'Basic inputs'!$E$65</f>
        <v>0</v>
      </c>
    </row>
    <row r="34" spans="2:41">
      <c r="B34" s="171" t="s">
        <v>384</v>
      </c>
      <c r="C34" s="48"/>
      <c r="D34" s="28">
        <f>'Basic inputs'!$E$68</f>
        <v>0</v>
      </c>
      <c r="E34" s="28">
        <f>'Basic inputs'!$E$68</f>
        <v>0</v>
      </c>
      <c r="F34" s="28">
        <f>'Basic inputs'!$E$68</f>
        <v>0</v>
      </c>
      <c r="G34" s="28">
        <f>'Basic inputs'!$E$68</f>
        <v>0</v>
      </c>
      <c r="H34" s="28">
        <f>'Basic inputs'!$E$68</f>
        <v>0</v>
      </c>
      <c r="I34" s="28">
        <f>'Basic inputs'!$E$68</f>
        <v>0</v>
      </c>
      <c r="J34" s="28">
        <f>'Basic inputs'!$E$68</f>
        <v>0</v>
      </c>
      <c r="K34" s="28">
        <f>'Basic inputs'!$E$68</f>
        <v>0</v>
      </c>
      <c r="L34" s="28">
        <f>'Basic inputs'!$E$68</f>
        <v>0</v>
      </c>
      <c r="M34" s="28">
        <f>'Basic inputs'!$E$68</f>
        <v>0</v>
      </c>
      <c r="N34" s="28">
        <f>'Basic inputs'!$E$68</f>
        <v>0</v>
      </c>
      <c r="O34" s="28">
        <f>'Basic inputs'!$E$68</f>
        <v>0</v>
      </c>
      <c r="P34" s="63"/>
      <c r="Q34" s="28">
        <f>'Basic inputs'!$E$68</f>
        <v>0</v>
      </c>
      <c r="R34" s="28">
        <f>'Basic inputs'!$E$68</f>
        <v>0</v>
      </c>
      <c r="S34" s="28">
        <f>'Basic inputs'!$E$68</f>
        <v>0</v>
      </c>
      <c r="T34" s="28">
        <f>'Basic inputs'!$E$68</f>
        <v>0</v>
      </c>
      <c r="U34" s="28">
        <f>'Basic inputs'!$E$68</f>
        <v>0</v>
      </c>
      <c r="V34" s="28">
        <f>'Basic inputs'!$E$68</f>
        <v>0</v>
      </c>
      <c r="W34" s="28">
        <f>'Basic inputs'!$E$68</f>
        <v>0</v>
      </c>
      <c r="X34" s="28">
        <f>'Basic inputs'!$E$68</f>
        <v>0</v>
      </c>
      <c r="Y34" s="28">
        <f>'Basic inputs'!$E$68</f>
        <v>0</v>
      </c>
      <c r="Z34" s="28">
        <f>'Basic inputs'!$E$68</f>
        <v>0</v>
      </c>
      <c r="AA34" s="28">
        <f>'Basic inputs'!$E$68</f>
        <v>0</v>
      </c>
      <c r="AB34" s="28">
        <f>'Basic inputs'!$E$68</f>
        <v>0</v>
      </c>
      <c r="AC34" s="63"/>
      <c r="AD34" s="28">
        <f>'Basic inputs'!$E$68</f>
        <v>0</v>
      </c>
      <c r="AE34" s="28">
        <f>'Basic inputs'!$E$68</f>
        <v>0</v>
      </c>
      <c r="AF34" s="28">
        <f>'Basic inputs'!$E$68</f>
        <v>0</v>
      </c>
      <c r="AG34" s="28">
        <f>'Basic inputs'!$E$68</f>
        <v>0</v>
      </c>
      <c r="AH34" s="28">
        <f>'Basic inputs'!$E$68</f>
        <v>0</v>
      </c>
      <c r="AI34" s="28">
        <f>'Basic inputs'!$E$68</f>
        <v>0</v>
      </c>
      <c r="AJ34" s="28">
        <f>'Basic inputs'!$E$68</f>
        <v>0</v>
      </c>
      <c r="AK34" s="28">
        <f>'Basic inputs'!$E$68</f>
        <v>0</v>
      </c>
      <c r="AL34" s="28">
        <f>'Basic inputs'!$E$68</f>
        <v>0</v>
      </c>
      <c r="AM34" s="28">
        <f>'Basic inputs'!$E$68</f>
        <v>0</v>
      </c>
      <c r="AN34" s="28">
        <f>'Basic inputs'!$E$68</f>
        <v>0</v>
      </c>
      <c r="AO34" s="28">
        <f>'Basic inputs'!$E$68</f>
        <v>0</v>
      </c>
    </row>
    <row r="35" spans="2:41">
      <c r="B35" s="171" t="s">
        <v>320</v>
      </c>
      <c r="C35" s="48"/>
      <c r="D35" s="28">
        <f>IF(D4&gt;6,IF(D4&lt;'Basic inputs'!$E$71,'Basic inputs'!$E$72,0),0)</f>
        <v>0</v>
      </c>
      <c r="E35" s="28">
        <f>IF(E4&gt;6,IF(E4&lt;'Basic inputs'!$E$71,'Basic inputs'!$E$72,0),0)</f>
        <v>0</v>
      </c>
      <c r="F35" s="28">
        <f>IF(F4&gt;6,IF(F4&lt;'Basic inputs'!$E$71,'Basic inputs'!$E$72,0),0)</f>
        <v>0</v>
      </c>
      <c r="G35" s="28">
        <f>IF(G4&gt;6,IF(G4&lt;'Basic inputs'!$E$71,'Basic inputs'!$E$72,0),0)</f>
        <v>0</v>
      </c>
      <c r="H35" s="28">
        <f>IF(H4&gt;6,IF(H4&lt;'Basic inputs'!$E$71,'Basic inputs'!$E$72,0),0)</f>
        <v>0</v>
      </c>
      <c r="I35" s="28">
        <f>IF(I4&gt;6,IF(I4&lt;'Basic inputs'!$E$71,'Basic inputs'!$E$72,0),0)</f>
        <v>0</v>
      </c>
      <c r="J35" s="28">
        <f>IF(J4&gt;6,IF(J4&lt;'Basic inputs'!$E$71,'Basic inputs'!$E$72,0),0)</f>
        <v>100</v>
      </c>
      <c r="K35" s="28">
        <f>IF(K4&gt;6,IF(K4&lt;'Basic inputs'!$E$71,'Basic inputs'!$E$72,0),0)</f>
        <v>100</v>
      </c>
      <c r="L35" s="28">
        <f>IF(L4&gt;6,IF(L4&lt;'Basic inputs'!$E$71,'Basic inputs'!$E$72,0),0)</f>
        <v>100</v>
      </c>
      <c r="M35" s="28">
        <f>IF(M4&gt;6,IF(M4&lt;'Basic inputs'!$E$71,'Basic inputs'!$E$72,0),0)</f>
        <v>100</v>
      </c>
      <c r="N35" s="28">
        <f>IF(N4&gt;6,IF(N4&lt;'Basic inputs'!$E$71,'Basic inputs'!$E$72,0),0)</f>
        <v>100</v>
      </c>
      <c r="O35" s="28">
        <f>IF(O4&gt;6,IF(O4&lt;'Basic inputs'!$E$71,'Basic inputs'!$E$72,0),0)</f>
        <v>100</v>
      </c>
      <c r="P35" s="28"/>
      <c r="Q35" s="28">
        <f>IF(Q4&gt;6,IF(Q4&lt;'Basic inputs'!$E$71,'Basic inputs'!$E$72,0),0)</f>
        <v>100</v>
      </c>
      <c r="R35" s="28">
        <f>IF(R4&gt;6,IF(R4&lt;'Basic inputs'!$E$71,'Basic inputs'!$E$72,0),0)</f>
        <v>100</v>
      </c>
      <c r="S35" s="28">
        <f>IF(S4&gt;6,IF(S4&lt;'Basic inputs'!$E$71,'Basic inputs'!$E$72,0),0)</f>
        <v>100</v>
      </c>
      <c r="T35" s="28">
        <f>IF(T4&gt;6,IF(T4&lt;'Basic inputs'!$E$71,'Basic inputs'!$E$72,0),0)</f>
        <v>100</v>
      </c>
      <c r="U35" s="28">
        <f>IF(U4&gt;6,IF(U4&lt;'Basic inputs'!$E$71,'Basic inputs'!$E$72,0),0)</f>
        <v>100</v>
      </c>
      <c r="V35" s="28">
        <f>IF(V4&gt;6,IF(V4&lt;'Basic inputs'!$E$71,'Basic inputs'!$E$72,0),0)</f>
        <v>100</v>
      </c>
      <c r="W35" s="28">
        <f>IF(W4&gt;6,IF(W4&lt;'Basic inputs'!$E$71,'Basic inputs'!$E$72,0),0)</f>
        <v>100</v>
      </c>
      <c r="X35" s="28">
        <f>IF(X4&gt;6,IF(X4&lt;'Basic inputs'!$E$71,'Basic inputs'!$E$72,0),0)</f>
        <v>100</v>
      </c>
      <c r="Y35" s="28">
        <f>IF(Y4&gt;6,IF(Y4&lt;'Basic inputs'!$E$71,'Basic inputs'!$E$72,0),0)</f>
        <v>100</v>
      </c>
      <c r="Z35" s="28">
        <f>IF(Z4&gt;6,IF(Z4&lt;'Basic inputs'!$E$71,'Basic inputs'!$E$72,0),0)</f>
        <v>100</v>
      </c>
      <c r="AA35" s="28">
        <f>IF(AA4&gt;6,IF(AA4&lt;'Basic inputs'!$E$71,'Basic inputs'!$E$72,0),0)</f>
        <v>100</v>
      </c>
      <c r="AB35" s="28">
        <f>IF(AB4&gt;6,IF(AB4&lt;'Basic inputs'!$E$71,'Basic inputs'!$E$72,0),0)</f>
        <v>100</v>
      </c>
      <c r="AC35" s="28"/>
      <c r="AD35" s="28">
        <f>IF(AD4&gt;6,IF(AD4&lt;'Basic inputs'!$E$71,'Basic inputs'!$E$72,0),0)</f>
        <v>100</v>
      </c>
      <c r="AE35" s="28">
        <f>IF(AE4&gt;6,IF(AE4&lt;'Basic inputs'!$E$71,'Basic inputs'!$E$72,0),0)</f>
        <v>100</v>
      </c>
      <c r="AF35" s="28">
        <f>IF(AF4&gt;6,IF(AF4&lt;'Basic inputs'!$E$71,'Basic inputs'!$E$72,0),0)</f>
        <v>100</v>
      </c>
      <c r="AG35" s="28">
        <f>IF(AG4&gt;6,IF(AG4&lt;'Basic inputs'!$E$71,'Basic inputs'!$E$72,0),0)</f>
        <v>100</v>
      </c>
      <c r="AH35" s="28">
        <f>IF(AH4&gt;6,IF(AH4&lt;'Basic inputs'!$E$71,'Basic inputs'!$E$72,0),0)</f>
        <v>100</v>
      </c>
      <c r="AI35" s="28">
        <f>IF(AI4&gt;6,IF(AI4&lt;'Basic inputs'!$E$71,'Basic inputs'!$E$72,0),0)</f>
        <v>100</v>
      </c>
      <c r="AJ35" s="28">
        <f>IF(AJ4&gt;6,IF(AJ4&lt;'Basic inputs'!$E$71,'Basic inputs'!$E$72,0),0)</f>
        <v>100</v>
      </c>
      <c r="AK35" s="28">
        <f>IF(AK4&gt;6,IF(AK4&lt;'Basic inputs'!$E$71,'Basic inputs'!$E$72,0),0)</f>
        <v>100</v>
      </c>
      <c r="AL35" s="28">
        <f>IF(AL4&gt;6,IF(AL4&lt;'Basic inputs'!$E$71,'Basic inputs'!$E$72,0),0)</f>
        <v>100</v>
      </c>
      <c r="AM35" s="28">
        <f>IF(AM4&gt;6,IF(AM4&lt;'Basic inputs'!$E$71,'Basic inputs'!$E$72,0),0)</f>
        <v>100</v>
      </c>
      <c r="AN35" s="28">
        <f>IF(AN4&gt;6,IF(AN4&lt;'Basic inputs'!$E$71,'Basic inputs'!$E$72,0),0)</f>
        <v>100</v>
      </c>
      <c r="AO35" s="28">
        <f>IF(AO4&gt;6,IF(AO4&lt;'Basic inputs'!$E$71,'Basic inputs'!$E$72,0),0)</f>
        <v>100</v>
      </c>
    </row>
    <row r="36" spans="2:41">
      <c r="B36" s="171" t="s">
        <v>383</v>
      </c>
      <c r="C36" s="48"/>
      <c r="D36" s="28">
        <f>IF(D4='Basic inputs'!$E$67,'Basic inputs'!$E$66,0)</f>
        <v>0</v>
      </c>
      <c r="E36" s="28">
        <f>IF(E4='Basic inputs'!$E$67,'Basic inputs'!$E$66,0)</f>
        <v>0</v>
      </c>
      <c r="F36" s="28">
        <f>IF(F4='Basic inputs'!$E$67,'Basic inputs'!$E$66,0)</f>
        <v>0</v>
      </c>
      <c r="G36" s="28">
        <f>IF(G4='Basic inputs'!$E$67,'Basic inputs'!$E$66,0)</f>
        <v>0</v>
      </c>
      <c r="H36" s="28">
        <f>IF(H4='Basic inputs'!$E$67,'Basic inputs'!$E$66,0)</f>
        <v>0</v>
      </c>
      <c r="I36" s="28">
        <f>IF(I4='Basic inputs'!$E$67,'Basic inputs'!$E$66,0)</f>
        <v>0</v>
      </c>
      <c r="J36" s="28">
        <f>IF(J4='Basic inputs'!$E$67,'Basic inputs'!$E$66,0)</f>
        <v>0</v>
      </c>
      <c r="K36" s="28">
        <f>IF(K4='Basic inputs'!$E$67,'Basic inputs'!$E$66,0)</f>
        <v>0</v>
      </c>
      <c r="L36" s="28">
        <f>IF(L4='Basic inputs'!$E$67,'Basic inputs'!$E$66,0)</f>
        <v>0</v>
      </c>
      <c r="M36" s="28">
        <f>IF(M4='Basic inputs'!$E$67,'Basic inputs'!$E$66,0)</f>
        <v>0</v>
      </c>
      <c r="N36" s="28">
        <f>IF(N4='Basic inputs'!$E$67,'Basic inputs'!$E$66,0)</f>
        <v>0</v>
      </c>
      <c r="O36" s="28">
        <f>IF(O4='Basic inputs'!$E$67,'Basic inputs'!$E$66,0)</f>
        <v>0</v>
      </c>
      <c r="Q36" s="28">
        <f>IF(Q4='Basic inputs'!$E$67,'Basic inputs'!$E$66,0)</f>
        <v>875</v>
      </c>
      <c r="R36" s="28">
        <f>IF(R4='Basic inputs'!$E$67,'Basic inputs'!$E$66,0)</f>
        <v>0</v>
      </c>
      <c r="S36" s="28">
        <f>IF(S4='Basic inputs'!$E$67,'Basic inputs'!$E$66,0)</f>
        <v>0</v>
      </c>
      <c r="T36" s="28">
        <f>IF(T4='Basic inputs'!$E$67,'Basic inputs'!$E$66,0)</f>
        <v>0</v>
      </c>
      <c r="U36" s="28">
        <f>IF(U4='Basic inputs'!$E$67,'Basic inputs'!$E$66,0)</f>
        <v>0</v>
      </c>
      <c r="V36" s="28">
        <f>IF(V4='Basic inputs'!$E$67,'Basic inputs'!$E$66,0)</f>
        <v>0</v>
      </c>
      <c r="W36" s="28">
        <f>IF(W4='Basic inputs'!$E$67,'Basic inputs'!$E$66,0)</f>
        <v>0</v>
      </c>
      <c r="X36" s="28">
        <f>IF(X4='Basic inputs'!$E$67,'Basic inputs'!$E$66,0)</f>
        <v>0</v>
      </c>
      <c r="Y36" s="28">
        <f>IF(Y4='Basic inputs'!$E$67,'Basic inputs'!$E$66,0)</f>
        <v>0</v>
      </c>
      <c r="Z36" s="28">
        <f>IF(Z4='Basic inputs'!$E$67,'Basic inputs'!$E$66,0)</f>
        <v>0</v>
      </c>
      <c r="AA36" s="28">
        <f>IF(AA4='Basic inputs'!$E$67,'Basic inputs'!$E$66,0)</f>
        <v>0</v>
      </c>
      <c r="AB36" s="28">
        <f>IF(AB4='Basic inputs'!$E$67,'Basic inputs'!$E$66,0)</f>
        <v>0</v>
      </c>
      <c r="AC36" s="32"/>
      <c r="AD36" s="28">
        <f>IF(AD4='Basic inputs'!$E$67,'Basic inputs'!$E$66,0)</f>
        <v>0</v>
      </c>
      <c r="AE36" s="28">
        <f>IF(AE4='Basic inputs'!$E$67,'Basic inputs'!$E$66,0)</f>
        <v>0</v>
      </c>
      <c r="AF36" s="28">
        <f>IF(AF4='Basic inputs'!$E$67,'Basic inputs'!$E$66,0)</f>
        <v>0</v>
      </c>
      <c r="AG36" s="28">
        <f>IF(AG4='Basic inputs'!$E$67,'Basic inputs'!$E$66,0)</f>
        <v>0</v>
      </c>
      <c r="AH36" s="28">
        <f>IF(AH4='Basic inputs'!$E$67,'Basic inputs'!$E$66,0)</f>
        <v>0</v>
      </c>
      <c r="AI36" s="28">
        <f>IF(AI4='Basic inputs'!$E$67,'Basic inputs'!$E$66,0)</f>
        <v>0</v>
      </c>
      <c r="AJ36" s="28">
        <f>IF(AJ4='Basic inputs'!$E$67,'Basic inputs'!$E$66,0)</f>
        <v>0</v>
      </c>
      <c r="AK36" s="28">
        <f>IF(AK4='Basic inputs'!$E$67,'Basic inputs'!$E$66,0)</f>
        <v>0</v>
      </c>
      <c r="AL36" s="28">
        <f>IF(AL4='Basic inputs'!$E$67,'Basic inputs'!$E$66,0)</f>
        <v>0</v>
      </c>
      <c r="AM36" s="28">
        <f>IF(AM4='Basic inputs'!$E$67,'Basic inputs'!$E$66,0)</f>
        <v>0</v>
      </c>
      <c r="AN36" s="28">
        <f>IF(AN4='Basic inputs'!$E$67,'Basic inputs'!$E$66,0)</f>
        <v>0</v>
      </c>
      <c r="AO36" s="28">
        <f>IF(AO4='Basic inputs'!$E$67,'Basic inputs'!$E$66,0)</f>
        <v>0</v>
      </c>
    </row>
    <row r="37" spans="2:41">
      <c r="B37" s="172" t="s">
        <v>315</v>
      </c>
      <c r="C37" s="48"/>
      <c r="D37" s="60"/>
      <c r="E37" s="60"/>
      <c r="F37" s="60"/>
      <c r="G37" s="60"/>
      <c r="H37" s="60"/>
      <c r="I37" s="60"/>
      <c r="J37" s="60"/>
      <c r="K37" s="60"/>
      <c r="L37" s="60"/>
      <c r="M37" s="60"/>
      <c r="N37" s="60"/>
      <c r="O37" s="60"/>
      <c r="Q37" s="60"/>
      <c r="R37" s="60"/>
      <c r="S37" s="60"/>
      <c r="T37" s="60"/>
      <c r="U37" s="60"/>
      <c r="V37" s="60"/>
      <c r="W37" s="60"/>
      <c r="X37" s="60"/>
      <c r="Y37" s="60"/>
      <c r="Z37" s="60"/>
      <c r="AA37" s="60"/>
      <c r="AB37" s="60"/>
      <c r="AC37" s="32"/>
      <c r="AD37" s="60"/>
      <c r="AE37" s="60"/>
      <c r="AF37" s="60"/>
      <c r="AG37" s="60"/>
      <c r="AH37" s="60"/>
      <c r="AI37" s="60"/>
      <c r="AJ37" s="60"/>
      <c r="AK37" s="60"/>
      <c r="AL37" s="60"/>
      <c r="AM37" s="60"/>
      <c r="AN37" s="60"/>
      <c r="AO37" s="60"/>
    </row>
    <row r="38" spans="2:41">
      <c r="B38" s="172" t="s">
        <v>315</v>
      </c>
      <c r="C38" s="48"/>
      <c r="D38" s="60"/>
      <c r="E38" s="60"/>
      <c r="F38" s="60"/>
      <c r="G38" s="60"/>
      <c r="H38" s="60"/>
      <c r="I38" s="60"/>
      <c r="J38" s="60"/>
      <c r="K38" s="60"/>
      <c r="L38" s="60"/>
      <c r="M38" s="60"/>
      <c r="N38" s="60"/>
      <c r="O38" s="60"/>
      <c r="Q38" s="60"/>
      <c r="R38" s="60"/>
      <c r="S38" s="60"/>
      <c r="T38" s="60"/>
      <c r="U38" s="60"/>
      <c r="V38" s="60"/>
      <c r="W38" s="60"/>
      <c r="X38" s="60"/>
      <c r="Y38" s="60"/>
      <c r="Z38" s="60"/>
      <c r="AA38" s="60"/>
      <c r="AB38" s="60"/>
      <c r="AC38" s="32"/>
      <c r="AD38" s="60"/>
      <c r="AE38" s="60"/>
      <c r="AF38" s="60"/>
      <c r="AG38" s="60"/>
      <c r="AH38" s="60"/>
      <c r="AI38" s="60"/>
      <c r="AJ38" s="60"/>
      <c r="AK38" s="60"/>
      <c r="AL38" s="60"/>
      <c r="AM38" s="60"/>
      <c r="AN38" s="60"/>
      <c r="AO38" s="60"/>
    </row>
    <row r="39" spans="2:41">
      <c r="B39" s="25" t="s">
        <v>315</v>
      </c>
      <c r="C39" s="48"/>
      <c r="D39" s="25"/>
      <c r="E39" s="25"/>
      <c r="F39" s="60"/>
      <c r="G39" s="60"/>
      <c r="H39" s="60"/>
      <c r="I39" s="60"/>
      <c r="J39" s="60"/>
      <c r="K39" s="60"/>
      <c r="L39" s="60"/>
      <c r="M39" s="60"/>
      <c r="N39" s="60"/>
      <c r="O39" s="60"/>
      <c r="Q39" s="60"/>
      <c r="R39" s="60"/>
      <c r="S39" s="60"/>
      <c r="T39" s="60"/>
      <c r="U39" s="60"/>
      <c r="V39" s="60"/>
      <c r="W39" s="60"/>
      <c r="X39" s="60"/>
      <c r="Y39" s="60"/>
      <c r="Z39" s="60"/>
      <c r="AA39" s="60"/>
      <c r="AB39" s="60"/>
      <c r="AC39" s="32"/>
      <c r="AD39" s="60"/>
      <c r="AE39" s="60"/>
      <c r="AF39" s="60"/>
      <c r="AG39" s="60"/>
      <c r="AH39" s="60"/>
      <c r="AI39" s="60"/>
      <c r="AJ39" s="60"/>
      <c r="AK39" s="60"/>
      <c r="AL39" s="60"/>
      <c r="AM39" s="60"/>
      <c r="AN39" s="60"/>
      <c r="AO39" s="60"/>
    </row>
    <row r="40" spans="2:41">
      <c r="B40" s="27" t="s">
        <v>378</v>
      </c>
      <c r="C40" s="58"/>
      <c r="D40" s="61">
        <f>SUM(D7:D12,D15)-SUM(D17:D39)</f>
        <v>5704.2</v>
      </c>
      <c r="E40" s="61">
        <f t="shared" ref="E40:O40" si="1">SUM(E7:E12,E15)-SUM(E17:E39)</f>
        <v>1077.6999999999998</v>
      </c>
      <c r="F40" s="61">
        <f t="shared" si="1"/>
        <v>1977.6999999999998</v>
      </c>
      <c r="G40" s="61">
        <f t="shared" si="1"/>
        <v>1079.1999999999998</v>
      </c>
      <c r="H40" s="61">
        <f t="shared" si="1"/>
        <v>1302.1999999999998</v>
      </c>
      <c r="I40" s="61">
        <f t="shared" si="1"/>
        <v>1302.1999999999998</v>
      </c>
      <c r="J40" s="61">
        <f t="shared" si="1"/>
        <v>1202.1999999999998</v>
      </c>
      <c r="K40" s="61">
        <f t="shared" si="1"/>
        <v>1202.1999999999998</v>
      </c>
      <c r="L40" s="61">
        <f t="shared" si="1"/>
        <v>1202.1999999999998</v>
      </c>
      <c r="M40" s="61">
        <f t="shared" si="1"/>
        <v>1202.1999999999998</v>
      </c>
      <c r="N40" s="61">
        <f t="shared" si="1"/>
        <v>979.19999999999982</v>
      </c>
      <c r="O40" s="61">
        <f t="shared" si="1"/>
        <v>979.19999999999982</v>
      </c>
      <c r="P40" s="65"/>
      <c r="Q40" s="61">
        <f>SUM(Q7:Q12,Q15)-SUM(Q17:Q39)</f>
        <v>-395.80000000000018</v>
      </c>
      <c r="R40" s="61">
        <f t="shared" ref="R40:AB40" si="2">SUM(R7:R12,R15)-SUM(R17:R39)</f>
        <v>479.19999999999982</v>
      </c>
      <c r="S40" s="61">
        <f t="shared" si="2"/>
        <v>479.19999999999982</v>
      </c>
      <c r="T40" s="61">
        <f t="shared" si="2"/>
        <v>479.19999999999982</v>
      </c>
      <c r="U40" s="61">
        <f t="shared" si="2"/>
        <v>702.19999999999982</v>
      </c>
      <c r="V40" s="61">
        <f t="shared" si="2"/>
        <v>702.19999999999982</v>
      </c>
      <c r="W40" s="61">
        <f t="shared" si="2"/>
        <v>702.19999999999982</v>
      </c>
      <c r="X40" s="61">
        <f t="shared" si="2"/>
        <v>702.19999999999982</v>
      </c>
      <c r="Y40" s="61">
        <f t="shared" si="2"/>
        <v>702.19999999999982</v>
      </c>
      <c r="Z40" s="61">
        <f t="shared" si="2"/>
        <v>1056.1999999999998</v>
      </c>
      <c r="AA40" s="61">
        <f t="shared" si="2"/>
        <v>833.19999999999982</v>
      </c>
      <c r="AB40" s="61">
        <f t="shared" si="2"/>
        <v>833.19999999999982</v>
      </c>
      <c r="AC40" s="65"/>
      <c r="AD40" s="61">
        <f>SUM(AD7:AD12,AD15)-SUM(AD17:AD39)</f>
        <v>833.19999999999982</v>
      </c>
      <c r="AE40" s="61">
        <f t="shared" ref="AE40:AO40" si="3">SUM(AE7:AE12,AE15)-SUM(AE17:AE39)</f>
        <v>833.19999999999982</v>
      </c>
      <c r="AF40" s="61">
        <f t="shared" si="3"/>
        <v>833.19999999999982</v>
      </c>
      <c r="AG40" s="61">
        <f t="shared" si="3"/>
        <v>833.19999999999982</v>
      </c>
      <c r="AH40" s="61">
        <f t="shared" si="3"/>
        <v>1056.1999999999998</v>
      </c>
      <c r="AI40" s="61">
        <f t="shared" si="3"/>
        <v>1056.1999999999998</v>
      </c>
      <c r="AJ40" s="61">
        <f t="shared" si="3"/>
        <v>1056.1999999999998</v>
      </c>
      <c r="AK40" s="61">
        <f t="shared" si="3"/>
        <v>1056.1999999999998</v>
      </c>
      <c r="AL40" s="61">
        <f t="shared" si="3"/>
        <v>1056.1999999999998</v>
      </c>
      <c r="AM40" s="61">
        <f t="shared" si="3"/>
        <v>1056.1999999999998</v>
      </c>
      <c r="AN40" s="61">
        <f t="shared" si="3"/>
        <v>833.19999999999982</v>
      </c>
      <c r="AO40" s="61">
        <f t="shared" si="3"/>
        <v>833.19999999999982</v>
      </c>
    </row>
    <row r="41" spans="2:41">
      <c r="D41" s="48"/>
      <c r="E41" s="48"/>
      <c r="AC41" s="32"/>
    </row>
    <row r="42" spans="2:41">
      <c r="B42" s="27" t="s">
        <v>379</v>
      </c>
      <c r="C42" s="58"/>
      <c r="D42" s="61">
        <f>SUM($D$40:D40)</f>
        <v>5704.2</v>
      </c>
      <c r="E42" s="61">
        <f>SUM($D$40:E40)</f>
        <v>6781.9</v>
      </c>
      <c r="F42" s="61">
        <f>SUM($D$40:F40)</f>
        <v>8759.5999999999985</v>
      </c>
      <c r="G42" s="61">
        <f>SUM($D$40:G40)</f>
        <v>9838.7999999999993</v>
      </c>
      <c r="H42" s="61">
        <f>SUM($D$40:H40)</f>
        <v>11141</v>
      </c>
      <c r="I42" s="61">
        <f>SUM($D$40:I40)</f>
        <v>12443.2</v>
      </c>
      <c r="J42" s="61">
        <f>SUM($D$40:J40)</f>
        <v>13645.400000000001</v>
      </c>
      <c r="K42" s="61">
        <f>SUM($D$40:K40)</f>
        <v>14847.600000000002</v>
      </c>
      <c r="L42" s="61">
        <f>SUM($D$40:L40)</f>
        <v>16049.800000000003</v>
      </c>
      <c r="M42" s="61">
        <f>SUM($D$40:M40)</f>
        <v>17252.000000000004</v>
      </c>
      <c r="N42" s="61">
        <f>SUM($D$40:N40)</f>
        <v>18231.200000000004</v>
      </c>
      <c r="O42" s="61">
        <f>SUM($D$40:O40)</f>
        <v>19210.400000000005</v>
      </c>
      <c r="P42" s="65"/>
      <c r="Q42" s="61">
        <f>SUM($D$40:Q40)</f>
        <v>18814.600000000006</v>
      </c>
      <c r="R42" s="61">
        <f>SUM($D$40:R40)</f>
        <v>19293.800000000007</v>
      </c>
      <c r="S42" s="61">
        <f>SUM($D$40:S40)</f>
        <v>19773.000000000007</v>
      </c>
      <c r="T42" s="61">
        <f>SUM($D$40:T40)</f>
        <v>20252.200000000008</v>
      </c>
      <c r="U42" s="61">
        <f>SUM($D$40:U40)</f>
        <v>20954.400000000009</v>
      </c>
      <c r="V42" s="61">
        <f>SUM($D$40:V40)</f>
        <v>21656.600000000009</v>
      </c>
      <c r="W42" s="61">
        <f>SUM($D$40:W40)</f>
        <v>22358.80000000001</v>
      </c>
      <c r="X42" s="61">
        <f>SUM($D$40:X40)</f>
        <v>23061.000000000011</v>
      </c>
      <c r="Y42" s="61">
        <f>SUM($D$40:Y40)</f>
        <v>23763.200000000012</v>
      </c>
      <c r="Z42" s="61">
        <f>SUM($D$40:Z40)</f>
        <v>24819.400000000012</v>
      </c>
      <c r="AA42" s="61">
        <f>SUM($D$40:AA40)</f>
        <v>25652.600000000013</v>
      </c>
      <c r="AB42" s="61">
        <f>SUM($D$40:AB40)</f>
        <v>26485.800000000014</v>
      </c>
      <c r="AC42" s="65"/>
      <c r="AD42" s="61">
        <f>SUM($D$40:AD40)</f>
        <v>27319.000000000015</v>
      </c>
      <c r="AE42" s="61">
        <f>SUM($D$40:AE40)</f>
        <v>28152.200000000015</v>
      </c>
      <c r="AF42" s="61">
        <f>SUM($D$40:AF40)</f>
        <v>28985.400000000016</v>
      </c>
      <c r="AG42" s="61">
        <f>SUM($D$40:AG40)</f>
        <v>29818.600000000017</v>
      </c>
      <c r="AH42" s="61">
        <f>SUM($D$40:AH40)</f>
        <v>30874.800000000017</v>
      </c>
      <c r="AI42" s="61">
        <f>SUM($D$40:AI40)</f>
        <v>31931.000000000018</v>
      </c>
      <c r="AJ42" s="61">
        <f>SUM($D$40:AJ40)</f>
        <v>32987.200000000019</v>
      </c>
      <c r="AK42" s="61">
        <f>SUM($D$40:AK40)</f>
        <v>34043.400000000016</v>
      </c>
      <c r="AL42" s="61">
        <f>SUM($D$40:AL40)</f>
        <v>35099.600000000013</v>
      </c>
      <c r="AM42" s="61">
        <f>SUM($D$40:AM40)</f>
        <v>36155.80000000001</v>
      </c>
      <c r="AN42" s="61">
        <f>SUM($D$40:AN40)</f>
        <v>36989.000000000007</v>
      </c>
      <c r="AO42" s="61">
        <f>SUM($D$40:AO40)</f>
        <v>37822.200000000004</v>
      </c>
    </row>
    <row r="43" spans="2:41">
      <c r="AC43" s="32"/>
    </row>
    <row r="61" spans="4:4">
      <c r="D61" s="93"/>
    </row>
    <row r="62" spans="4:4">
      <c r="D62" s="93"/>
    </row>
    <row r="63" spans="4:4">
      <c r="D63" s="93"/>
    </row>
  </sheetData>
  <mergeCells count="3">
    <mergeCell ref="D3:O3"/>
    <mergeCell ref="Q3:AB3"/>
    <mergeCell ref="AD3:AO3"/>
  </mergeCells>
  <conditionalFormatting sqref="D40:AO40">
    <cfRule type="cellIs" dxfId="11" priority="7" operator="greaterThan">
      <formula>0</formula>
    </cfRule>
    <cfRule type="cellIs" dxfId="10" priority="9" operator="lessThan">
      <formula>0</formula>
    </cfRule>
  </conditionalFormatting>
  <conditionalFormatting sqref="D42:O42 Q42:AB42 AD42:AO42">
    <cfRule type="cellIs" dxfId="9" priority="5" operator="greaterThan">
      <formula>0</formula>
    </cfRule>
    <cfRule type="cellIs" dxfId="8" priority="6" operator="lessThan">
      <formula>0</formula>
    </cfRule>
  </conditionalFormatting>
  <conditionalFormatting sqref="P42">
    <cfRule type="cellIs" dxfId="7" priority="3" operator="greaterThan">
      <formula>0</formula>
    </cfRule>
    <cfRule type="cellIs" dxfId="6" priority="4" operator="lessThan">
      <formula>0</formula>
    </cfRule>
  </conditionalFormatting>
  <conditionalFormatting sqref="AC42">
    <cfRule type="cellIs" dxfId="5" priority="1" operator="greaterThan">
      <formula>0</formula>
    </cfRule>
    <cfRule type="cellIs" dxfId="4" priority="2" operator="lessThan">
      <formula>0</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'Calculations (INTERNAL)'!$F$80:$F$91</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Q43"/>
  <sheetViews>
    <sheetView workbookViewId="0">
      <selection activeCell="D5" sqref="D5"/>
    </sheetView>
  </sheetViews>
  <sheetFormatPr defaultColWidth="10.7109375" defaultRowHeight="12.75" outlineLevelCol="1"/>
  <cols>
    <col min="1" max="1" width="3.28515625" style="31" customWidth="1"/>
    <col min="2" max="2" width="35" style="31" customWidth="1"/>
    <col min="3" max="3" width="1" style="32" customWidth="1"/>
    <col min="4" max="15" width="10.7109375" style="31"/>
    <col min="16" max="16" width="2.7109375" style="32" customWidth="1"/>
    <col min="17" max="28" width="10.7109375" style="31" customWidth="1" outlineLevel="1"/>
    <col min="29" max="29" width="2.140625" style="31" customWidth="1"/>
    <col min="30" max="30" width="10.7109375" style="31" customWidth="1" outlineLevel="1" collapsed="1"/>
    <col min="31" max="41" width="10.7109375" style="31" customWidth="1" outlineLevel="1"/>
    <col min="42" max="16384" width="10.7109375" style="50"/>
  </cols>
  <sheetData>
    <row r="1" spans="1:43">
      <c r="A1" s="24"/>
      <c r="B1" s="24"/>
      <c r="C1" s="48"/>
      <c r="D1" s="24"/>
      <c r="E1" s="24"/>
      <c r="F1" s="24"/>
      <c r="G1" s="24"/>
      <c r="H1" s="24"/>
      <c r="I1" s="24"/>
      <c r="J1" s="24"/>
      <c r="K1" s="24"/>
      <c r="L1" s="24"/>
      <c r="M1" s="24"/>
      <c r="N1" s="24"/>
      <c r="O1" s="24"/>
      <c r="P1" s="48"/>
      <c r="Q1" s="24"/>
      <c r="R1" s="24"/>
      <c r="S1" s="24"/>
      <c r="T1" s="24"/>
      <c r="U1" s="24"/>
      <c r="V1" s="24"/>
      <c r="W1" s="24"/>
      <c r="X1" s="24"/>
      <c r="Y1" s="24"/>
      <c r="Z1" s="24"/>
      <c r="AA1" s="24"/>
      <c r="AB1" s="24"/>
      <c r="AC1" s="24"/>
      <c r="AD1" s="24"/>
      <c r="AE1" s="24"/>
      <c r="AF1" s="24"/>
      <c r="AG1" s="24"/>
      <c r="AH1" s="24"/>
      <c r="AI1" s="24"/>
      <c r="AJ1" s="24"/>
      <c r="AK1" s="24"/>
      <c r="AL1" s="24"/>
      <c r="AM1" s="24"/>
      <c r="AN1" s="24"/>
      <c r="AO1" s="24"/>
      <c r="AP1" s="49"/>
      <c r="AQ1" s="49"/>
    </row>
    <row r="3" spans="1:43">
      <c r="D3" s="189" t="s">
        <v>385</v>
      </c>
      <c r="E3" s="190"/>
      <c r="F3" s="190"/>
      <c r="G3" s="190"/>
      <c r="H3" s="190"/>
      <c r="I3" s="190"/>
      <c r="J3" s="190"/>
      <c r="K3" s="190"/>
      <c r="L3" s="190"/>
      <c r="M3" s="190"/>
      <c r="N3" s="190"/>
      <c r="O3" s="190"/>
      <c r="P3" s="62"/>
      <c r="Q3" s="191" t="s">
        <v>386</v>
      </c>
      <c r="R3" s="192"/>
      <c r="S3" s="192"/>
      <c r="T3" s="192"/>
      <c r="U3" s="192"/>
      <c r="V3" s="192"/>
      <c r="W3" s="192"/>
      <c r="X3" s="192"/>
      <c r="Y3" s="192"/>
      <c r="Z3" s="192"/>
      <c r="AA3" s="192"/>
      <c r="AB3" s="192"/>
      <c r="AC3" s="62"/>
      <c r="AD3" s="193" t="s">
        <v>389</v>
      </c>
      <c r="AE3" s="193"/>
      <c r="AF3" s="193"/>
      <c r="AG3" s="193"/>
      <c r="AH3" s="193"/>
      <c r="AI3" s="193"/>
      <c r="AJ3" s="193"/>
      <c r="AK3" s="193"/>
      <c r="AL3" s="193"/>
      <c r="AM3" s="193"/>
      <c r="AN3" s="193"/>
      <c r="AO3" s="193"/>
    </row>
    <row r="4" spans="1:43">
      <c r="D4" s="67">
        <v>1</v>
      </c>
      <c r="E4" s="67">
        <v>2</v>
      </c>
      <c r="F4" s="67">
        <v>3</v>
      </c>
      <c r="G4" s="67">
        <v>4</v>
      </c>
      <c r="H4" s="67">
        <v>5</v>
      </c>
      <c r="I4" s="67">
        <v>6</v>
      </c>
      <c r="J4" s="67">
        <v>7</v>
      </c>
      <c r="K4" s="67">
        <v>8</v>
      </c>
      <c r="L4" s="67">
        <v>9</v>
      </c>
      <c r="M4" s="67">
        <v>10</v>
      </c>
      <c r="N4" s="67">
        <v>11</v>
      </c>
      <c r="O4" s="67">
        <v>12</v>
      </c>
      <c r="P4" s="62"/>
      <c r="Q4" s="68">
        <v>13</v>
      </c>
      <c r="R4" s="68">
        <v>14</v>
      </c>
      <c r="S4" s="68">
        <v>15</v>
      </c>
      <c r="T4" s="68">
        <v>16</v>
      </c>
      <c r="U4" s="68">
        <v>17</v>
      </c>
      <c r="V4" s="68">
        <v>18</v>
      </c>
      <c r="W4" s="68">
        <v>19</v>
      </c>
      <c r="X4" s="68">
        <v>20</v>
      </c>
      <c r="Y4" s="68">
        <v>21</v>
      </c>
      <c r="Z4" s="68">
        <v>22</v>
      </c>
      <c r="AA4" s="68">
        <v>23</v>
      </c>
      <c r="AB4" s="68">
        <v>24</v>
      </c>
      <c r="AC4" s="62"/>
      <c r="AD4" s="69">
        <v>25</v>
      </c>
      <c r="AE4" s="69">
        <v>26</v>
      </c>
      <c r="AF4" s="69">
        <v>27</v>
      </c>
      <c r="AG4" s="69">
        <v>28</v>
      </c>
      <c r="AH4" s="69">
        <v>29</v>
      </c>
      <c r="AI4" s="69">
        <v>30</v>
      </c>
      <c r="AJ4" s="69">
        <v>31</v>
      </c>
      <c r="AK4" s="69">
        <v>32</v>
      </c>
      <c r="AL4" s="69">
        <v>33</v>
      </c>
      <c r="AM4" s="69">
        <v>34</v>
      </c>
      <c r="AN4" s="69">
        <v>35</v>
      </c>
      <c r="AO4" s="69">
        <v>36</v>
      </c>
    </row>
    <row r="5" spans="1:43">
      <c r="B5" s="50"/>
      <c r="C5" s="51"/>
      <c r="D5" s="94" t="s">
        <v>28</v>
      </c>
      <c r="E5" s="67" t="str">
        <f>VLOOKUP(D5,'Calculations (INTERNAL)'!$F$80:$G$91,2,)</f>
        <v>February</v>
      </c>
      <c r="F5" s="67" t="str">
        <f>VLOOKUP(E5,'Calculations (INTERNAL)'!$F$80:$G$91,2,)</f>
        <v>March</v>
      </c>
      <c r="G5" s="67" t="str">
        <f>VLOOKUP(F5,'Calculations (INTERNAL)'!$F$80:$G$91,2,)</f>
        <v>April</v>
      </c>
      <c r="H5" s="67" t="str">
        <f>VLOOKUP(G5,'Calculations (INTERNAL)'!$F$80:$G$91,2,)</f>
        <v>May</v>
      </c>
      <c r="I5" s="67" t="str">
        <f>VLOOKUP(H5,'Calculations (INTERNAL)'!$F$80:$G$91,2,)</f>
        <v>June</v>
      </c>
      <c r="J5" s="67" t="str">
        <f>VLOOKUP(I5,'Calculations (INTERNAL)'!$F$80:$G$91,2,)</f>
        <v>July</v>
      </c>
      <c r="K5" s="67" t="str">
        <f>VLOOKUP(J5,'Calculations (INTERNAL)'!$F$80:$G$91,2,)</f>
        <v>August</v>
      </c>
      <c r="L5" s="67" t="str">
        <f>VLOOKUP(K5,'Calculations (INTERNAL)'!$F$80:$G$91,2,)</f>
        <v>September</v>
      </c>
      <c r="M5" s="67" t="str">
        <f>VLOOKUP(L5,'Calculations (INTERNAL)'!$F$80:$G$91,2,)</f>
        <v>October</v>
      </c>
      <c r="N5" s="67" t="str">
        <f>VLOOKUP(M5,'Calculations (INTERNAL)'!$F$80:$G$91,2,)</f>
        <v>November</v>
      </c>
      <c r="O5" s="67" t="str">
        <f>VLOOKUP(N5,'Calculations (INTERNAL)'!$F$80:$G$91,2,)</f>
        <v>December</v>
      </c>
      <c r="P5" s="62"/>
      <c r="Q5" s="68" t="str">
        <f>VLOOKUP(O5,'Calculations (INTERNAL)'!$F$80:$G$91,2,)</f>
        <v>January</v>
      </c>
      <c r="R5" s="68" t="str">
        <f>VLOOKUP(Q5,'Calculations (INTERNAL)'!$F$80:$G$91,2,)</f>
        <v>February</v>
      </c>
      <c r="S5" s="68" t="str">
        <f>VLOOKUP(R5,'Calculations (INTERNAL)'!$F$80:$G$91,2,)</f>
        <v>March</v>
      </c>
      <c r="T5" s="68" t="str">
        <f>VLOOKUP(S5,'Calculations (INTERNAL)'!$F$80:$G$91,2,)</f>
        <v>April</v>
      </c>
      <c r="U5" s="68" t="str">
        <f>VLOOKUP(T5,'Calculations (INTERNAL)'!$F$80:$G$91,2,)</f>
        <v>May</v>
      </c>
      <c r="V5" s="68" t="str">
        <f>VLOOKUP(U5,'Calculations (INTERNAL)'!$F$80:$G$91,2,)</f>
        <v>June</v>
      </c>
      <c r="W5" s="68" t="str">
        <f>VLOOKUP(V5,'Calculations (INTERNAL)'!$F$80:$G$91,2,)</f>
        <v>July</v>
      </c>
      <c r="X5" s="68" t="str">
        <f>VLOOKUP(W5,'Calculations (INTERNAL)'!$F$80:$G$91,2,)</f>
        <v>August</v>
      </c>
      <c r="Y5" s="68" t="str">
        <f>VLOOKUP(X5,'Calculations (INTERNAL)'!$F$80:$G$91,2,)</f>
        <v>September</v>
      </c>
      <c r="Z5" s="68" t="str">
        <f>VLOOKUP(Y5,'Calculations (INTERNAL)'!$F$80:$G$91,2,)</f>
        <v>October</v>
      </c>
      <c r="AA5" s="68" t="str">
        <f>VLOOKUP(Z5,'Calculations (INTERNAL)'!$F$80:$G$91,2,)</f>
        <v>November</v>
      </c>
      <c r="AB5" s="68" t="str">
        <f>VLOOKUP(AA5,'Calculations (INTERNAL)'!$F$80:$G$91,2,)</f>
        <v>December</v>
      </c>
      <c r="AC5" s="62"/>
      <c r="AD5" s="69" t="str">
        <f>VLOOKUP(AB5,'Calculations (INTERNAL)'!$F$80:$G$91,2,)</f>
        <v>January</v>
      </c>
      <c r="AE5" s="69" t="str">
        <f>VLOOKUP(AD5,'Calculations (INTERNAL)'!$F$80:$G$91,2,)</f>
        <v>February</v>
      </c>
      <c r="AF5" s="69" t="str">
        <f>VLOOKUP(AE5,'Calculations (INTERNAL)'!$F$80:$G$91,2,)</f>
        <v>March</v>
      </c>
      <c r="AG5" s="69" t="str">
        <f>VLOOKUP(AF5,'Calculations (INTERNAL)'!$F$80:$G$91,2,)</f>
        <v>April</v>
      </c>
      <c r="AH5" s="69" t="str">
        <f>VLOOKUP(AG5,'Calculations (INTERNAL)'!$F$80:$G$91,2,)</f>
        <v>May</v>
      </c>
      <c r="AI5" s="69" t="str">
        <f>VLOOKUP(AH5,'Calculations (INTERNAL)'!$F$80:$G$91,2,)</f>
        <v>June</v>
      </c>
      <c r="AJ5" s="69" t="str">
        <f>VLOOKUP(AI5,'Calculations (INTERNAL)'!$F$80:$G$91,2,)</f>
        <v>July</v>
      </c>
      <c r="AK5" s="69" t="str">
        <f>VLOOKUP(AJ5,'Calculations (INTERNAL)'!$F$80:$G$91,2,)</f>
        <v>August</v>
      </c>
      <c r="AL5" s="69" t="str">
        <f>VLOOKUP(AK5,'Calculations (INTERNAL)'!$F$80:$G$91,2,)</f>
        <v>September</v>
      </c>
      <c r="AM5" s="69" t="str">
        <f>VLOOKUP(AL5,'Calculations (INTERNAL)'!$F$80:$G$91,2,)</f>
        <v>October</v>
      </c>
      <c r="AN5" s="69" t="str">
        <f>VLOOKUP(AM5,'Calculations (INTERNAL)'!$F$80:$G$91,2,)</f>
        <v>November</v>
      </c>
      <c r="AO5" s="69" t="str">
        <f>VLOOKUP(AN5,'Calculations (INTERNAL)'!$F$80:$G$91,2,)</f>
        <v>December</v>
      </c>
    </row>
    <row r="6" spans="1:43" s="51" customFormat="1">
      <c r="A6" s="31"/>
      <c r="B6" s="26" t="s">
        <v>308</v>
      </c>
      <c r="C6" s="58"/>
      <c r="D6" s="56"/>
      <c r="E6" s="57"/>
      <c r="F6" s="57"/>
      <c r="G6" s="57"/>
      <c r="H6" s="57"/>
      <c r="I6" s="57"/>
      <c r="J6" s="57"/>
      <c r="K6" s="57"/>
      <c r="L6" s="57"/>
      <c r="M6" s="57"/>
      <c r="N6" s="57"/>
      <c r="O6" s="55"/>
      <c r="P6" s="62"/>
      <c r="Q6" s="56"/>
      <c r="R6" s="57"/>
      <c r="S6" s="57"/>
      <c r="T6" s="57"/>
      <c r="U6" s="57"/>
      <c r="V6" s="57"/>
      <c r="W6" s="57"/>
      <c r="X6" s="57"/>
      <c r="Y6" s="57"/>
      <c r="Z6" s="57"/>
      <c r="AA6" s="57"/>
      <c r="AB6" s="55"/>
      <c r="AC6" s="62"/>
      <c r="AD6" s="56"/>
      <c r="AE6" s="57"/>
      <c r="AF6" s="57"/>
      <c r="AG6" s="57"/>
      <c r="AH6" s="57"/>
      <c r="AI6" s="57"/>
      <c r="AJ6" s="57"/>
      <c r="AK6" s="57"/>
      <c r="AL6" s="57"/>
      <c r="AM6" s="57"/>
      <c r="AN6" s="57"/>
      <c r="AO6" s="55"/>
    </row>
    <row r="7" spans="1:43">
      <c r="B7" s="25" t="s">
        <v>309</v>
      </c>
      <c r="C7" s="48"/>
      <c r="D7" s="71"/>
      <c r="E7" s="71"/>
      <c r="F7" s="71"/>
      <c r="G7" s="71"/>
      <c r="H7" s="71"/>
      <c r="I7" s="71"/>
      <c r="J7" s="71"/>
      <c r="K7" s="71"/>
      <c r="L7" s="71"/>
      <c r="M7" s="71"/>
      <c r="N7" s="71"/>
      <c r="O7" s="71"/>
      <c r="P7" s="63"/>
      <c r="Q7" s="70"/>
      <c r="R7" s="70"/>
      <c r="S7" s="70"/>
      <c r="T7" s="70"/>
      <c r="U7" s="70"/>
      <c r="V7" s="70"/>
      <c r="W7" s="70"/>
      <c r="X7" s="70"/>
      <c r="Y7" s="70"/>
      <c r="Z7" s="70"/>
      <c r="AA7" s="70"/>
      <c r="AB7" s="70"/>
      <c r="AC7" s="63"/>
      <c r="AD7" s="70"/>
      <c r="AE7" s="70"/>
      <c r="AF7" s="70"/>
      <c r="AG7" s="70"/>
      <c r="AH7" s="70"/>
      <c r="AI7" s="70"/>
      <c r="AJ7" s="70"/>
      <c r="AK7" s="70"/>
      <c r="AL7" s="70"/>
      <c r="AM7" s="70"/>
      <c r="AN7" s="70"/>
      <c r="AO7" s="70"/>
    </row>
    <row r="8" spans="1:43">
      <c r="B8" s="25" t="s">
        <v>304</v>
      </c>
      <c r="C8" s="48"/>
      <c r="D8" s="142"/>
      <c r="E8" s="142"/>
      <c r="F8" s="142"/>
      <c r="G8" s="142"/>
      <c r="H8" s="142"/>
      <c r="I8" s="142"/>
      <c r="J8" s="142"/>
      <c r="K8" s="142"/>
      <c r="L8" s="142"/>
      <c r="M8" s="142"/>
      <c r="N8" s="142"/>
      <c r="O8" s="142"/>
      <c r="P8" s="143"/>
      <c r="Q8" s="144"/>
      <c r="R8" s="144"/>
      <c r="S8" s="144"/>
      <c r="T8" s="144"/>
      <c r="U8" s="144"/>
      <c r="V8" s="144"/>
      <c r="W8" s="144"/>
      <c r="X8" s="144"/>
      <c r="Y8" s="144"/>
      <c r="Z8" s="144"/>
      <c r="AA8" s="144"/>
      <c r="AB8" s="144"/>
      <c r="AC8" s="143"/>
      <c r="AD8" s="144"/>
      <c r="AE8" s="144"/>
      <c r="AF8" s="144"/>
      <c r="AG8" s="144"/>
      <c r="AH8" s="144"/>
      <c r="AI8" s="144"/>
      <c r="AJ8" s="144"/>
      <c r="AK8" s="144"/>
      <c r="AL8" s="144"/>
      <c r="AM8" s="144"/>
      <c r="AN8" s="144"/>
      <c r="AO8" s="144"/>
    </row>
    <row r="9" spans="1:43">
      <c r="B9" s="25" t="s">
        <v>305</v>
      </c>
      <c r="C9" s="48"/>
      <c r="D9" s="142"/>
      <c r="E9" s="142"/>
      <c r="F9" s="142"/>
      <c r="G9" s="142"/>
      <c r="H9" s="142"/>
      <c r="I9" s="142"/>
      <c r="J9" s="142"/>
      <c r="K9" s="142"/>
      <c r="L9" s="142"/>
      <c r="M9" s="142"/>
      <c r="N9" s="142"/>
      <c r="O9" s="142"/>
      <c r="P9" s="143"/>
      <c r="Q9" s="144"/>
      <c r="R9" s="144"/>
      <c r="S9" s="144"/>
      <c r="T9" s="144"/>
      <c r="U9" s="144"/>
      <c r="V9" s="144"/>
      <c r="W9" s="144"/>
      <c r="X9" s="144"/>
      <c r="Y9" s="144"/>
      <c r="Z9" s="144"/>
      <c r="AA9" s="144"/>
      <c r="AB9" s="144"/>
      <c r="AC9" s="143"/>
      <c r="AD9" s="144"/>
      <c r="AE9" s="144"/>
      <c r="AF9" s="144"/>
      <c r="AG9" s="144"/>
      <c r="AH9" s="144"/>
      <c r="AI9" s="144"/>
      <c r="AJ9" s="144"/>
      <c r="AK9" s="144"/>
      <c r="AL9" s="144"/>
      <c r="AM9" s="144"/>
      <c r="AN9" s="144"/>
      <c r="AO9" s="144"/>
    </row>
    <row r="10" spans="1:43">
      <c r="B10" s="25" t="s">
        <v>310</v>
      </c>
      <c r="C10" s="48"/>
      <c r="D10" s="142"/>
      <c r="E10" s="142"/>
      <c r="F10" s="142"/>
      <c r="G10" s="142"/>
      <c r="H10" s="142"/>
      <c r="I10" s="142"/>
      <c r="J10" s="142"/>
      <c r="K10" s="142"/>
      <c r="L10" s="142"/>
      <c r="M10" s="142"/>
      <c r="N10" s="142"/>
      <c r="O10" s="142"/>
      <c r="P10" s="143"/>
      <c r="Q10" s="144"/>
      <c r="R10" s="144"/>
      <c r="S10" s="144"/>
      <c r="T10" s="144"/>
      <c r="U10" s="144"/>
      <c r="V10" s="144"/>
      <c r="W10" s="144"/>
      <c r="X10" s="144"/>
      <c r="Y10" s="144"/>
      <c r="Z10" s="144"/>
      <c r="AA10" s="144"/>
      <c r="AB10" s="144"/>
      <c r="AC10" s="143"/>
      <c r="AD10" s="144"/>
      <c r="AE10" s="144"/>
      <c r="AF10" s="144"/>
      <c r="AG10" s="144"/>
      <c r="AH10" s="144"/>
      <c r="AI10" s="144"/>
      <c r="AJ10" s="144"/>
      <c r="AK10" s="144"/>
      <c r="AL10" s="144"/>
      <c r="AM10" s="144"/>
      <c r="AN10" s="144"/>
      <c r="AO10" s="144"/>
    </row>
    <row r="11" spans="1:43" ht="12" customHeight="1">
      <c r="B11" s="25" t="s">
        <v>307</v>
      </c>
      <c r="C11" s="48"/>
      <c r="D11" s="142"/>
      <c r="E11" s="142"/>
      <c r="F11" s="142"/>
      <c r="G11" s="142"/>
      <c r="H11" s="142"/>
      <c r="I11" s="142"/>
      <c r="J11" s="142"/>
      <c r="K11" s="142"/>
      <c r="L11" s="142"/>
      <c r="M11" s="142"/>
      <c r="N11" s="142"/>
      <c r="O11" s="142"/>
      <c r="P11" s="143"/>
      <c r="Q11" s="144"/>
      <c r="R11" s="144"/>
      <c r="S11" s="144"/>
      <c r="T11" s="144"/>
      <c r="U11" s="144"/>
      <c r="V11" s="144"/>
      <c r="W11" s="144"/>
      <c r="X11" s="144"/>
      <c r="Y11" s="144"/>
      <c r="Z11" s="144"/>
      <c r="AA11" s="144"/>
      <c r="AB11" s="144"/>
      <c r="AC11" s="143"/>
      <c r="AD11" s="144"/>
      <c r="AE11" s="144"/>
      <c r="AF11" s="144"/>
      <c r="AG11" s="144"/>
      <c r="AH11" s="144"/>
      <c r="AI11" s="144"/>
      <c r="AJ11" s="144"/>
      <c r="AK11" s="144"/>
      <c r="AL11" s="144"/>
      <c r="AM11" s="144"/>
      <c r="AN11" s="144"/>
      <c r="AO11" s="144"/>
    </row>
    <row r="12" spans="1:43" ht="14.1" customHeight="1">
      <c r="B12" s="25" t="s">
        <v>306</v>
      </c>
      <c r="C12" s="48"/>
      <c r="D12" s="142"/>
      <c r="E12" s="142"/>
      <c r="F12" s="142"/>
      <c r="G12" s="142"/>
      <c r="H12" s="142"/>
      <c r="I12" s="142"/>
      <c r="J12" s="142"/>
      <c r="K12" s="142"/>
      <c r="L12" s="142"/>
      <c r="M12" s="142"/>
      <c r="N12" s="142"/>
      <c r="O12" s="142"/>
      <c r="P12" s="143"/>
      <c r="Q12" s="144"/>
      <c r="R12" s="144"/>
      <c r="S12" s="144"/>
      <c r="T12" s="144"/>
      <c r="U12" s="144"/>
      <c r="V12" s="144"/>
      <c r="W12" s="144"/>
      <c r="X12" s="144"/>
      <c r="Y12" s="144"/>
      <c r="Z12" s="144"/>
      <c r="AA12" s="144"/>
      <c r="AB12" s="144"/>
      <c r="AC12" s="143"/>
      <c r="AD12" s="144"/>
      <c r="AE12" s="144"/>
      <c r="AF12" s="144"/>
      <c r="AG12" s="144"/>
      <c r="AH12" s="144"/>
      <c r="AI12" s="144"/>
      <c r="AJ12" s="144"/>
      <c r="AK12" s="144"/>
      <c r="AL12" s="144"/>
      <c r="AM12" s="144"/>
      <c r="AN12" s="144"/>
      <c r="AO12" s="144"/>
    </row>
    <row r="13" spans="1:43" ht="9.9499999999999993" hidden="1" customHeight="1">
      <c r="A13" s="33"/>
      <c r="B13" s="30" t="s">
        <v>331</v>
      </c>
      <c r="C13" s="59"/>
      <c r="D13" s="142"/>
      <c r="E13" s="142"/>
      <c r="F13" s="142"/>
      <c r="G13" s="142"/>
      <c r="H13" s="142"/>
      <c r="I13" s="142"/>
      <c r="J13" s="142"/>
      <c r="K13" s="142"/>
      <c r="L13" s="142"/>
      <c r="M13" s="142"/>
      <c r="N13" s="142"/>
      <c r="O13" s="142"/>
      <c r="P13" s="145"/>
      <c r="Q13" s="146"/>
      <c r="R13" s="146"/>
      <c r="S13" s="146"/>
      <c r="T13" s="146"/>
      <c r="U13" s="146"/>
      <c r="V13" s="146"/>
      <c r="W13" s="146"/>
      <c r="X13" s="146"/>
      <c r="Y13" s="146"/>
      <c r="Z13" s="146"/>
      <c r="AA13" s="146"/>
      <c r="AB13" s="146"/>
      <c r="AC13" s="145"/>
      <c r="AD13" s="146"/>
      <c r="AE13" s="146"/>
      <c r="AF13" s="146"/>
      <c r="AG13" s="146"/>
      <c r="AH13" s="146"/>
      <c r="AI13" s="146"/>
      <c r="AJ13" s="146"/>
      <c r="AK13" s="146"/>
      <c r="AL13" s="146"/>
      <c r="AM13" s="146"/>
      <c r="AN13" s="146"/>
      <c r="AO13" s="146"/>
    </row>
    <row r="14" spans="1:43" ht="9.9499999999999993" hidden="1" customHeight="1">
      <c r="A14" s="33"/>
      <c r="B14" s="30" t="s">
        <v>332</v>
      </c>
      <c r="C14" s="59"/>
      <c r="D14" s="142"/>
      <c r="E14" s="142"/>
      <c r="F14" s="142"/>
      <c r="G14" s="142"/>
      <c r="H14" s="142"/>
      <c r="I14" s="142"/>
      <c r="J14" s="142"/>
      <c r="K14" s="142"/>
      <c r="L14" s="142"/>
      <c r="M14" s="142"/>
      <c r="N14" s="142"/>
      <c r="O14" s="142"/>
      <c r="P14" s="145"/>
      <c r="Q14" s="146"/>
      <c r="R14" s="146"/>
      <c r="S14" s="146"/>
      <c r="T14" s="146"/>
      <c r="U14" s="146"/>
      <c r="V14" s="146"/>
      <c r="W14" s="146"/>
      <c r="X14" s="146"/>
      <c r="Y14" s="146"/>
      <c r="Z14" s="146"/>
      <c r="AA14" s="146"/>
      <c r="AB14" s="146"/>
      <c r="AC14" s="145"/>
      <c r="AD14" s="146"/>
      <c r="AE14" s="146"/>
      <c r="AF14" s="146"/>
      <c r="AG14" s="146"/>
      <c r="AH14" s="146"/>
      <c r="AI14" s="146"/>
      <c r="AJ14" s="146"/>
      <c r="AK14" s="146"/>
      <c r="AL14" s="146"/>
      <c r="AM14" s="146"/>
      <c r="AN14" s="146"/>
      <c r="AO14" s="146"/>
    </row>
    <row r="15" spans="1:43" s="51" customFormat="1">
      <c r="A15" s="31"/>
      <c r="B15" s="25" t="s">
        <v>311</v>
      </c>
      <c r="C15" s="48"/>
      <c r="D15" s="142"/>
      <c r="E15" s="142"/>
      <c r="F15" s="142"/>
      <c r="G15" s="142"/>
      <c r="H15" s="142"/>
      <c r="I15" s="142"/>
      <c r="J15" s="142"/>
      <c r="K15" s="142"/>
      <c r="L15" s="142"/>
      <c r="M15" s="142"/>
      <c r="N15" s="142"/>
      <c r="O15" s="142"/>
      <c r="P15" s="143"/>
      <c r="Q15" s="144"/>
      <c r="R15" s="144"/>
      <c r="S15" s="144"/>
      <c r="T15" s="144"/>
      <c r="U15" s="144"/>
      <c r="V15" s="144"/>
      <c r="W15" s="144"/>
      <c r="X15" s="144"/>
      <c r="Y15" s="144"/>
      <c r="Z15" s="144"/>
      <c r="AA15" s="144"/>
      <c r="AB15" s="144"/>
      <c r="AC15" s="143"/>
      <c r="AD15" s="144"/>
      <c r="AE15" s="144"/>
      <c r="AF15" s="144"/>
      <c r="AG15" s="144"/>
      <c r="AH15" s="144"/>
      <c r="AI15" s="144"/>
      <c r="AJ15" s="144"/>
      <c r="AK15" s="144"/>
      <c r="AL15" s="144"/>
      <c r="AM15" s="144"/>
      <c r="AN15" s="144"/>
      <c r="AO15" s="144"/>
    </row>
    <row r="16" spans="1:43" s="51" customFormat="1">
      <c r="A16" s="31"/>
      <c r="B16" s="66" t="s">
        <v>312</v>
      </c>
      <c r="C16" s="58"/>
      <c r="D16" s="147"/>
      <c r="E16" s="148"/>
      <c r="F16" s="148"/>
      <c r="G16" s="148"/>
      <c r="H16" s="148"/>
      <c r="I16" s="148"/>
      <c r="J16" s="148"/>
      <c r="K16" s="148"/>
      <c r="L16" s="148"/>
      <c r="M16" s="148"/>
      <c r="N16" s="148"/>
      <c r="O16" s="149"/>
      <c r="P16" s="143"/>
      <c r="Q16" s="150"/>
      <c r="R16" s="151"/>
      <c r="S16" s="151"/>
      <c r="T16" s="151"/>
      <c r="U16" s="151"/>
      <c r="V16" s="151"/>
      <c r="W16" s="151"/>
      <c r="X16" s="151"/>
      <c r="Y16" s="151"/>
      <c r="Z16" s="151"/>
      <c r="AA16" s="151"/>
      <c r="AB16" s="152"/>
      <c r="AC16" s="143"/>
      <c r="AD16" s="150"/>
      <c r="AE16" s="151"/>
      <c r="AF16" s="151"/>
      <c r="AG16" s="151"/>
      <c r="AH16" s="151"/>
      <c r="AI16" s="151"/>
      <c r="AJ16" s="151"/>
      <c r="AK16" s="151"/>
      <c r="AL16" s="151"/>
      <c r="AM16" s="151"/>
      <c r="AN16" s="151"/>
      <c r="AO16" s="152"/>
    </row>
    <row r="17" spans="1:41" s="51" customFormat="1">
      <c r="A17" s="31"/>
      <c r="B17" s="25" t="s">
        <v>313</v>
      </c>
      <c r="C17" s="48"/>
      <c r="D17" s="142"/>
      <c r="E17" s="142"/>
      <c r="F17" s="142"/>
      <c r="G17" s="142"/>
      <c r="H17" s="142"/>
      <c r="I17" s="142"/>
      <c r="J17" s="142"/>
      <c r="K17" s="142"/>
      <c r="L17" s="142"/>
      <c r="M17" s="142"/>
      <c r="N17" s="142"/>
      <c r="O17" s="142"/>
      <c r="P17" s="143"/>
      <c r="Q17" s="144"/>
      <c r="R17" s="144"/>
      <c r="S17" s="144"/>
      <c r="T17" s="144"/>
      <c r="U17" s="144"/>
      <c r="V17" s="144"/>
      <c r="W17" s="144"/>
      <c r="X17" s="144"/>
      <c r="Y17" s="144"/>
      <c r="Z17" s="144"/>
      <c r="AA17" s="144"/>
      <c r="AB17" s="144"/>
      <c r="AC17" s="143"/>
      <c r="AD17" s="144"/>
      <c r="AE17" s="144"/>
      <c r="AF17" s="144"/>
      <c r="AG17" s="144"/>
      <c r="AH17" s="144"/>
      <c r="AI17" s="144"/>
      <c r="AJ17" s="144"/>
      <c r="AK17" s="144"/>
      <c r="AL17" s="144"/>
      <c r="AM17" s="144"/>
      <c r="AN17" s="144"/>
      <c r="AO17" s="144"/>
    </row>
    <row r="18" spans="1:41">
      <c r="B18" s="171" t="s">
        <v>12</v>
      </c>
      <c r="C18" s="48"/>
      <c r="D18" s="142"/>
      <c r="E18" s="142"/>
      <c r="F18" s="142"/>
      <c r="G18" s="142"/>
      <c r="H18" s="142"/>
      <c r="I18" s="142"/>
      <c r="J18" s="142"/>
      <c r="K18" s="142"/>
      <c r="L18" s="142"/>
      <c r="M18" s="142"/>
      <c r="N18" s="142"/>
      <c r="O18" s="142"/>
      <c r="P18" s="143"/>
      <c r="Q18" s="144"/>
      <c r="R18" s="144"/>
      <c r="S18" s="144"/>
      <c r="T18" s="144"/>
      <c r="U18" s="144"/>
      <c r="V18" s="144"/>
      <c r="W18" s="144"/>
      <c r="X18" s="144"/>
      <c r="Y18" s="144"/>
      <c r="Z18" s="144"/>
      <c r="AA18" s="144"/>
      <c r="AB18" s="144"/>
      <c r="AC18" s="143"/>
      <c r="AD18" s="144"/>
      <c r="AE18" s="144"/>
      <c r="AF18" s="144"/>
      <c r="AG18" s="144"/>
      <c r="AH18" s="144"/>
      <c r="AI18" s="144"/>
      <c r="AJ18" s="144"/>
      <c r="AK18" s="144"/>
      <c r="AL18" s="144"/>
      <c r="AM18" s="144"/>
      <c r="AN18" s="144"/>
      <c r="AO18" s="144"/>
    </row>
    <row r="19" spans="1:41">
      <c r="B19" s="171" t="s">
        <v>316</v>
      </c>
      <c r="C19" s="48"/>
      <c r="D19" s="142"/>
      <c r="E19" s="142"/>
      <c r="F19" s="142"/>
      <c r="G19" s="142"/>
      <c r="H19" s="142"/>
      <c r="I19" s="142"/>
      <c r="J19" s="142"/>
      <c r="K19" s="142"/>
      <c r="L19" s="142"/>
      <c r="M19" s="142"/>
      <c r="N19" s="142"/>
      <c r="O19" s="142"/>
      <c r="P19" s="143"/>
      <c r="Q19" s="144"/>
      <c r="R19" s="144"/>
      <c r="S19" s="144"/>
      <c r="T19" s="144"/>
      <c r="U19" s="144"/>
      <c r="V19" s="144"/>
      <c r="W19" s="144"/>
      <c r="X19" s="144"/>
      <c r="Y19" s="144"/>
      <c r="Z19" s="144"/>
      <c r="AA19" s="144"/>
      <c r="AB19" s="144"/>
      <c r="AC19" s="143"/>
      <c r="AD19" s="144"/>
      <c r="AE19" s="144"/>
      <c r="AF19" s="144"/>
      <c r="AG19" s="144"/>
      <c r="AH19" s="144"/>
      <c r="AI19" s="144"/>
      <c r="AJ19" s="144"/>
      <c r="AK19" s="144"/>
      <c r="AL19" s="144"/>
      <c r="AM19" s="144"/>
      <c r="AN19" s="144"/>
      <c r="AO19" s="144"/>
    </row>
    <row r="20" spans="1:41">
      <c r="B20" s="171" t="s">
        <v>13</v>
      </c>
      <c r="C20" s="48"/>
      <c r="D20" s="142"/>
      <c r="E20" s="142"/>
      <c r="F20" s="142"/>
      <c r="G20" s="142"/>
      <c r="H20" s="142"/>
      <c r="I20" s="142"/>
      <c r="J20" s="142"/>
      <c r="K20" s="142"/>
      <c r="L20" s="142"/>
      <c r="M20" s="142"/>
      <c r="N20" s="142"/>
      <c r="O20" s="142"/>
      <c r="P20" s="143"/>
      <c r="Q20" s="144"/>
      <c r="R20" s="144"/>
      <c r="S20" s="144"/>
      <c r="T20" s="144"/>
      <c r="U20" s="144"/>
      <c r="V20" s="144"/>
      <c r="W20" s="144"/>
      <c r="X20" s="144"/>
      <c r="Y20" s="144"/>
      <c r="Z20" s="144"/>
      <c r="AA20" s="144"/>
      <c r="AB20" s="144"/>
      <c r="AC20" s="143"/>
      <c r="AD20" s="144"/>
      <c r="AE20" s="144"/>
      <c r="AF20" s="144"/>
      <c r="AG20" s="144"/>
      <c r="AH20" s="144"/>
      <c r="AI20" s="144"/>
      <c r="AJ20" s="144"/>
      <c r="AK20" s="144"/>
      <c r="AL20" s="144"/>
      <c r="AM20" s="144"/>
      <c r="AN20" s="144"/>
      <c r="AO20" s="144"/>
    </row>
    <row r="21" spans="1:41">
      <c r="B21" s="171" t="s">
        <v>11</v>
      </c>
      <c r="C21" s="48"/>
      <c r="D21" s="142"/>
      <c r="E21" s="142"/>
      <c r="F21" s="142"/>
      <c r="G21" s="142"/>
      <c r="H21" s="142"/>
      <c r="I21" s="142"/>
      <c r="J21" s="142"/>
      <c r="K21" s="142"/>
      <c r="L21" s="142"/>
      <c r="M21" s="142"/>
      <c r="N21" s="142"/>
      <c r="O21" s="142"/>
      <c r="P21" s="143"/>
      <c r="Q21" s="144"/>
      <c r="R21" s="144"/>
      <c r="S21" s="144"/>
      <c r="T21" s="144"/>
      <c r="U21" s="144"/>
      <c r="V21" s="144"/>
      <c r="W21" s="144"/>
      <c r="X21" s="144"/>
      <c r="Y21" s="144"/>
      <c r="Z21" s="144"/>
      <c r="AA21" s="144"/>
      <c r="AB21" s="144"/>
      <c r="AC21" s="143"/>
      <c r="AD21" s="144"/>
      <c r="AE21" s="144"/>
      <c r="AF21" s="144"/>
      <c r="AG21" s="144"/>
      <c r="AH21" s="144"/>
      <c r="AI21" s="144"/>
      <c r="AJ21" s="144"/>
      <c r="AK21" s="144"/>
      <c r="AL21" s="144"/>
      <c r="AM21" s="144"/>
      <c r="AN21" s="144"/>
      <c r="AO21" s="144"/>
    </row>
    <row r="22" spans="1:41">
      <c r="B22" s="171" t="s">
        <v>302</v>
      </c>
      <c r="C22" s="48"/>
      <c r="D22" s="142"/>
      <c r="E22" s="142"/>
      <c r="F22" s="142"/>
      <c r="G22" s="142"/>
      <c r="H22" s="142"/>
      <c r="I22" s="142"/>
      <c r="J22" s="142"/>
      <c r="K22" s="142"/>
      <c r="L22" s="142"/>
      <c r="M22" s="142"/>
      <c r="N22" s="142"/>
      <c r="O22" s="142"/>
      <c r="P22" s="143"/>
      <c r="Q22" s="144"/>
      <c r="R22" s="144"/>
      <c r="S22" s="144"/>
      <c r="T22" s="144"/>
      <c r="U22" s="144"/>
      <c r="V22" s="144"/>
      <c r="W22" s="144"/>
      <c r="X22" s="144"/>
      <c r="Y22" s="144"/>
      <c r="Z22" s="144"/>
      <c r="AA22" s="144"/>
      <c r="AB22" s="144"/>
      <c r="AC22" s="143"/>
      <c r="AD22" s="144"/>
      <c r="AE22" s="144"/>
      <c r="AF22" s="144"/>
      <c r="AG22" s="144"/>
      <c r="AH22" s="144"/>
      <c r="AI22" s="144"/>
      <c r="AJ22" s="144"/>
      <c r="AK22" s="144"/>
      <c r="AL22" s="144"/>
      <c r="AM22" s="144"/>
      <c r="AN22" s="144"/>
      <c r="AO22" s="144"/>
    </row>
    <row r="23" spans="1:41">
      <c r="B23" s="171" t="s">
        <v>17</v>
      </c>
      <c r="C23" s="48"/>
      <c r="D23" s="142"/>
      <c r="E23" s="142"/>
      <c r="F23" s="142"/>
      <c r="G23" s="142"/>
      <c r="H23" s="142"/>
      <c r="I23" s="142"/>
      <c r="J23" s="142"/>
      <c r="K23" s="142"/>
      <c r="L23" s="142"/>
      <c r="M23" s="142"/>
      <c r="N23" s="142"/>
      <c r="O23" s="142"/>
      <c r="P23" s="143"/>
      <c r="Q23" s="144"/>
      <c r="R23" s="144"/>
      <c r="S23" s="144"/>
      <c r="T23" s="144"/>
      <c r="U23" s="144"/>
      <c r="V23" s="144"/>
      <c r="W23" s="144"/>
      <c r="X23" s="144"/>
      <c r="Y23" s="144"/>
      <c r="Z23" s="144"/>
      <c r="AA23" s="144"/>
      <c r="AB23" s="144"/>
      <c r="AC23" s="143"/>
      <c r="AD23" s="144"/>
      <c r="AE23" s="144"/>
      <c r="AF23" s="144"/>
      <c r="AG23" s="144"/>
      <c r="AH23" s="144"/>
      <c r="AI23" s="144"/>
      <c r="AJ23" s="144"/>
      <c r="AK23" s="144"/>
      <c r="AL23" s="144"/>
      <c r="AM23" s="144"/>
      <c r="AN23" s="144"/>
      <c r="AO23" s="144"/>
    </row>
    <row r="24" spans="1:41">
      <c r="B24" s="171" t="s">
        <v>382</v>
      </c>
      <c r="C24" s="48"/>
      <c r="D24" s="142"/>
      <c r="E24" s="142"/>
      <c r="F24" s="142"/>
      <c r="G24" s="142"/>
      <c r="H24" s="142"/>
      <c r="I24" s="142"/>
      <c r="J24" s="142"/>
      <c r="K24" s="142"/>
      <c r="L24" s="142"/>
      <c r="M24" s="142"/>
      <c r="N24" s="142"/>
      <c r="O24" s="142"/>
      <c r="P24" s="143"/>
      <c r="Q24" s="144"/>
      <c r="R24" s="144"/>
      <c r="S24" s="144"/>
      <c r="T24" s="144"/>
      <c r="U24" s="144"/>
      <c r="V24" s="144"/>
      <c r="W24" s="144"/>
      <c r="X24" s="144"/>
      <c r="Y24" s="144"/>
      <c r="Z24" s="144"/>
      <c r="AA24" s="144"/>
      <c r="AB24" s="144"/>
      <c r="AC24" s="143"/>
      <c r="AD24" s="144"/>
      <c r="AE24" s="144"/>
      <c r="AF24" s="144"/>
      <c r="AG24" s="144"/>
      <c r="AH24" s="144"/>
      <c r="AI24" s="144"/>
      <c r="AJ24" s="144"/>
      <c r="AK24" s="144"/>
      <c r="AL24" s="144"/>
      <c r="AM24" s="144"/>
      <c r="AN24" s="144"/>
      <c r="AO24" s="144"/>
    </row>
    <row r="25" spans="1:41">
      <c r="B25" s="172" t="s">
        <v>15</v>
      </c>
      <c r="C25" s="48"/>
      <c r="D25" s="142"/>
      <c r="E25" s="142"/>
      <c r="F25" s="142"/>
      <c r="G25" s="142"/>
      <c r="H25" s="142"/>
      <c r="I25" s="142"/>
      <c r="J25" s="142"/>
      <c r="K25" s="142"/>
      <c r="L25" s="142"/>
      <c r="M25" s="142"/>
      <c r="N25" s="142"/>
      <c r="O25" s="142"/>
      <c r="P25" s="143"/>
      <c r="Q25" s="144"/>
      <c r="R25" s="144"/>
      <c r="S25" s="144"/>
      <c r="T25" s="144"/>
      <c r="U25" s="144"/>
      <c r="V25" s="144"/>
      <c r="W25" s="144"/>
      <c r="X25" s="144"/>
      <c r="Y25" s="144"/>
      <c r="Z25" s="144"/>
      <c r="AA25" s="144"/>
      <c r="AB25" s="144"/>
      <c r="AC25" s="143"/>
      <c r="AD25" s="144"/>
      <c r="AE25" s="144"/>
      <c r="AF25" s="144"/>
      <c r="AG25" s="144"/>
      <c r="AH25" s="144"/>
      <c r="AI25" s="144"/>
      <c r="AJ25" s="144"/>
      <c r="AK25" s="144"/>
      <c r="AL25" s="144"/>
      <c r="AM25" s="144"/>
      <c r="AN25" s="144"/>
      <c r="AO25" s="144"/>
    </row>
    <row r="26" spans="1:41">
      <c r="B26" s="172" t="s">
        <v>16</v>
      </c>
      <c r="C26" s="48"/>
      <c r="D26" s="142"/>
      <c r="E26" s="142"/>
      <c r="F26" s="142"/>
      <c r="G26" s="142"/>
      <c r="H26" s="142"/>
      <c r="I26" s="142"/>
      <c r="J26" s="142"/>
      <c r="K26" s="142"/>
      <c r="L26" s="142"/>
      <c r="M26" s="142"/>
      <c r="N26" s="142"/>
      <c r="O26" s="142"/>
      <c r="P26" s="143"/>
      <c r="Q26" s="144"/>
      <c r="R26" s="144"/>
      <c r="S26" s="144"/>
      <c r="T26" s="144"/>
      <c r="U26" s="144"/>
      <c r="V26" s="144"/>
      <c r="W26" s="144"/>
      <c r="X26" s="144"/>
      <c r="Y26" s="144"/>
      <c r="Z26" s="144"/>
      <c r="AA26" s="144"/>
      <c r="AB26" s="144"/>
      <c r="AC26" s="143"/>
      <c r="AD26" s="144"/>
      <c r="AE26" s="144"/>
      <c r="AF26" s="144"/>
      <c r="AG26" s="144"/>
      <c r="AH26" s="144"/>
      <c r="AI26" s="144"/>
      <c r="AJ26" s="144"/>
      <c r="AK26" s="144"/>
      <c r="AL26" s="144"/>
      <c r="AM26" s="144"/>
      <c r="AN26" s="144"/>
      <c r="AO26" s="144"/>
    </row>
    <row r="27" spans="1:41">
      <c r="B27" s="171" t="s">
        <v>18</v>
      </c>
      <c r="C27" s="48"/>
      <c r="D27" s="142"/>
      <c r="E27" s="142"/>
      <c r="F27" s="142"/>
      <c r="G27" s="142"/>
      <c r="H27" s="142"/>
      <c r="I27" s="142"/>
      <c r="J27" s="142"/>
      <c r="K27" s="142"/>
      <c r="L27" s="142"/>
      <c r="M27" s="142"/>
      <c r="N27" s="142"/>
      <c r="O27" s="142"/>
      <c r="P27" s="143"/>
      <c r="Q27" s="144"/>
      <c r="R27" s="144"/>
      <c r="S27" s="144"/>
      <c r="T27" s="144"/>
      <c r="U27" s="144"/>
      <c r="V27" s="144"/>
      <c r="W27" s="144"/>
      <c r="X27" s="144"/>
      <c r="Y27" s="144"/>
      <c r="Z27" s="144"/>
      <c r="AA27" s="144"/>
      <c r="AB27" s="144"/>
      <c r="AC27" s="143"/>
      <c r="AD27" s="144"/>
      <c r="AE27" s="144"/>
      <c r="AF27" s="144"/>
      <c r="AG27" s="144"/>
      <c r="AH27" s="144"/>
      <c r="AI27" s="144"/>
      <c r="AJ27" s="144"/>
      <c r="AK27" s="144"/>
      <c r="AL27" s="144"/>
      <c r="AM27" s="144"/>
      <c r="AN27" s="144"/>
      <c r="AO27" s="144"/>
    </row>
    <row r="28" spans="1:41">
      <c r="B28" s="171" t="s">
        <v>19</v>
      </c>
      <c r="C28" s="48"/>
      <c r="D28" s="142"/>
      <c r="E28" s="142"/>
      <c r="F28" s="142"/>
      <c r="G28" s="142"/>
      <c r="H28" s="142"/>
      <c r="I28" s="142"/>
      <c r="J28" s="142"/>
      <c r="K28" s="142"/>
      <c r="L28" s="142"/>
      <c r="M28" s="142"/>
      <c r="N28" s="142"/>
      <c r="O28" s="142"/>
      <c r="P28" s="143"/>
      <c r="Q28" s="144"/>
      <c r="R28" s="144"/>
      <c r="S28" s="144"/>
      <c r="T28" s="144"/>
      <c r="U28" s="144"/>
      <c r="V28" s="144"/>
      <c r="W28" s="144"/>
      <c r="X28" s="144"/>
      <c r="Y28" s="144"/>
      <c r="Z28" s="144"/>
      <c r="AA28" s="144"/>
      <c r="AB28" s="144"/>
      <c r="AC28" s="143"/>
      <c r="AD28" s="144"/>
      <c r="AE28" s="144"/>
      <c r="AF28" s="144"/>
      <c r="AG28" s="144"/>
      <c r="AH28" s="144"/>
      <c r="AI28" s="144"/>
      <c r="AJ28" s="144"/>
      <c r="AK28" s="144"/>
      <c r="AL28" s="144"/>
      <c r="AM28" s="144"/>
      <c r="AN28" s="144"/>
      <c r="AO28" s="144"/>
    </row>
    <row r="29" spans="1:41">
      <c r="B29" s="171" t="s">
        <v>1</v>
      </c>
      <c r="C29" s="48"/>
      <c r="D29" s="142"/>
      <c r="E29" s="142"/>
      <c r="F29" s="142"/>
      <c r="G29" s="142"/>
      <c r="H29" s="142"/>
      <c r="I29" s="142"/>
      <c r="J29" s="142"/>
      <c r="K29" s="142"/>
      <c r="L29" s="142"/>
      <c r="M29" s="142"/>
      <c r="N29" s="142"/>
      <c r="O29" s="142"/>
      <c r="P29" s="143"/>
      <c r="Q29" s="144"/>
      <c r="R29" s="144"/>
      <c r="S29" s="144"/>
      <c r="T29" s="144"/>
      <c r="U29" s="144"/>
      <c r="V29" s="144"/>
      <c r="W29" s="144"/>
      <c r="X29" s="144"/>
      <c r="Y29" s="144"/>
      <c r="Z29" s="144"/>
      <c r="AA29" s="144"/>
      <c r="AB29" s="144"/>
      <c r="AC29" s="143"/>
      <c r="AD29" s="144"/>
      <c r="AE29" s="144"/>
      <c r="AF29" s="144"/>
      <c r="AG29" s="144"/>
      <c r="AH29" s="144"/>
      <c r="AI29" s="144"/>
      <c r="AJ29" s="144"/>
      <c r="AK29" s="144"/>
      <c r="AL29" s="144"/>
      <c r="AM29" s="144"/>
      <c r="AN29" s="144"/>
      <c r="AO29" s="144"/>
    </row>
    <row r="30" spans="1:41">
      <c r="B30" s="171" t="s">
        <v>219</v>
      </c>
      <c r="C30" s="48"/>
      <c r="D30" s="142"/>
      <c r="E30" s="142"/>
      <c r="F30" s="142"/>
      <c r="G30" s="142"/>
      <c r="H30" s="142"/>
      <c r="I30" s="142"/>
      <c r="J30" s="142"/>
      <c r="K30" s="142"/>
      <c r="L30" s="142"/>
      <c r="M30" s="142"/>
      <c r="N30" s="142"/>
      <c r="O30" s="142"/>
      <c r="P30" s="143"/>
      <c r="Q30" s="144"/>
      <c r="R30" s="144"/>
      <c r="S30" s="144"/>
      <c r="T30" s="144"/>
      <c r="U30" s="144"/>
      <c r="V30" s="144"/>
      <c r="W30" s="144"/>
      <c r="X30" s="144"/>
      <c r="Y30" s="144"/>
      <c r="Z30" s="144"/>
      <c r="AA30" s="144"/>
      <c r="AB30" s="144"/>
      <c r="AC30" s="143"/>
      <c r="AD30" s="144"/>
      <c r="AE30" s="144"/>
      <c r="AF30" s="144"/>
      <c r="AG30" s="144"/>
      <c r="AH30" s="144"/>
      <c r="AI30" s="144"/>
      <c r="AJ30" s="144"/>
      <c r="AK30" s="144"/>
      <c r="AL30" s="144"/>
      <c r="AM30" s="144"/>
      <c r="AN30" s="144"/>
      <c r="AO30" s="144"/>
    </row>
    <row r="31" spans="1:41">
      <c r="B31" s="171" t="s">
        <v>317</v>
      </c>
      <c r="C31" s="48"/>
      <c r="D31" s="142"/>
      <c r="E31" s="142"/>
      <c r="F31" s="142"/>
      <c r="G31" s="142"/>
      <c r="H31" s="142"/>
      <c r="I31" s="142"/>
      <c r="J31" s="142"/>
      <c r="K31" s="142"/>
      <c r="L31" s="142"/>
      <c r="M31" s="142"/>
      <c r="N31" s="142"/>
      <c r="O31" s="142"/>
      <c r="P31" s="143"/>
      <c r="Q31" s="144"/>
      <c r="R31" s="144"/>
      <c r="S31" s="144"/>
      <c r="T31" s="144"/>
      <c r="U31" s="144"/>
      <c r="V31" s="144"/>
      <c r="W31" s="144"/>
      <c r="X31" s="144"/>
      <c r="Y31" s="144"/>
      <c r="Z31" s="144"/>
      <c r="AA31" s="144"/>
      <c r="AB31" s="144"/>
      <c r="AC31" s="143"/>
      <c r="AD31" s="144"/>
      <c r="AE31" s="144"/>
      <c r="AF31" s="144"/>
      <c r="AG31" s="144"/>
      <c r="AH31" s="144"/>
      <c r="AI31" s="144"/>
      <c r="AJ31" s="144"/>
      <c r="AK31" s="144"/>
      <c r="AL31" s="144"/>
      <c r="AM31" s="144"/>
      <c r="AN31" s="144"/>
      <c r="AO31" s="144"/>
    </row>
    <row r="32" spans="1:41">
      <c r="B32" s="171" t="s">
        <v>345</v>
      </c>
      <c r="C32" s="48"/>
      <c r="D32" s="142"/>
      <c r="E32" s="142"/>
      <c r="F32" s="142"/>
      <c r="G32" s="142"/>
      <c r="H32" s="142"/>
      <c r="I32" s="142"/>
      <c r="J32" s="142"/>
      <c r="K32" s="142"/>
      <c r="L32" s="142"/>
      <c r="M32" s="142"/>
      <c r="N32" s="142"/>
      <c r="O32" s="142"/>
      <c r="P32" s="143"/>
      <c r="Q32" s="144"/>
      <c r="R32" s="144"/>
      <c r="S32" s="144"/>
      <c r="T32" s="144"/>
      <c r="U32" s="144"/>
      <c r="V32" s="144"/>
      <c r="W32" s="144"/>
      <c r="X32" s="144"/>
      <c r="Y32" s="144"/>
      <c r="Z32" s="144"/>
      <c r="AA32" s="144"/>
      <c r="AB32" s="144"/>
      <c r="AC32" s="143"/>
      <c r="AD32" s="144"/>
      <c r="AE32" s="144"/>
      <c r="AF32" s="144"/>
      <c r="AG32" s="144"/>
      <c r="AH32" s="144"/>
      <c r="AI32" s="144"/>
      <c r="AJ32" s="144"/>
      <c r="AK32" s="144"/>
      <c r="AL32" s="144"/>
      <c r="AM32" s="144"/>
      <c r="AN32" s="144"/>
      <c r="AO32" s="144"/>
    </row>
    <row r="33" spans="2:41">
      <c r="B33" s="171" t="s">
        <v>314</v>
      </c>
      <c r="C33" s="48"/>
      <c r="D33" s="142"/>
      <c r="E33" s="142"/>
      <c r="F33" s="142"/>
      <c r="G33" s="142"/>
      <c r="H33" s="142"/>
      <c r="I33" s="142"/>
      <c r="J33" s="142"/>
      <c r="K33" s="142"/>
      <c r="L33" s="142"/>
      <c r="M33" s="142"/>
      <c r="N33" s="142"/>
      <c r="O33" s="142"/>
      <c r="P33" s="143"/>
      <c r="Q33" s="144"/>
      <c r="R33" s="144"/>
      <c r="S33" s="144"/>
      <c r="T33" s="144"/>
      <c r="U33" s="144"/>
      <c r="V33" s="144"/>
      <c r="W33" s="144"/>
      <c r="X33" s="144"/>
      <c r="Y33" s="144"/>
      <c r="Z33" s="144"/>
      <c r="AA33" s="144"/>
      <c r="AB33" s="144"/>
      <c r="AC33" s="143"/>
      <c r="AD33" s="144"/>
      <c r="AE33" s="144"/>
      <c r="AF33" s="144"/>
      <c r="AG33" s="144"/>
      <c r="AH33" s="144"/>
      <c r="AI33" s="144"/>
      <c r="AJ33" s="144"/>
      <c r="AK33" s="144"/>
      <c r="AL33" s="144"/>
      <c r="AM33" s="144"/>
      <c r="AN33" s="144"/>
      <c r="AO33" s="144"/>
    </row>
    <row r="34" spans="2:41">
      <c r="B34" s="171" t="s">
        <v>384</v>
      </c>
      <c r="C34" s="48"/>
      <c r="D34" s="142"/>
      <c r="E34" s="142"/>
      <c r="F34" s="142"/>
      <c r="G34" s="142"/>
      <c r="H34" s="142"/>
      <c r="I34" s="142"/>
      <c r="J34" s="142"/>
      <c r="K34" s="142"/>
      <c r="L34" s="142"/>
      <c r="M34" s="142"/>
      <c r="N34" s="142"/>
      <c r="O34" s="142"/>
      <c r="P34" s="143"/>
      <c r="Q34" s="144"/>
      <c r="R34" s="144"/>
      <c r="S34" s="144"/>
      <c r="T34" s="144"/>
      <c r="U34" s="144"/>
      <c r="V34" s="144"/>
      <c r="W34" s="144"/>
      <c r="X34" s="144"/>
      <c r="Y34" s="144"/>
      <c r="Z34" s="144"/>
      <c r="AA34" s="144"/>
      <c r="AB34" s="144"/>
      <c r="AC34" s="143"/>
      <c r="AD34" s="144"/>
      <c r="AE34" s="144"/>
      <c r="AF34" s="144"/>
      <c r="AG34" s="144"/>
      <c r="AH34" s="144"/>
      <c r="AI34" s="144"/>
      <c r="AJ34" s="144"/>
      <c r="AK34" s="144"/>
      <c r="AL34" s="144"/>
      <c r="AM34" s="144"/>
      <c r="AN34" s="144"/>
      <c r="AO34" s="144"/>
    </row>
    <row r="35" spans="2:41">
      <c r="B35" s="171" t="s">
        <v>320</v>
      </c>
      <c r="C35" s="48"/>
      <c r="D35" s="142"/>
      <c r="E35" s="142"/>
      <c r="F35" s="142"/>
      <c r="G35" s="142"/>
      <c r="H35" s="142"/>
      <c r="I35" s="142"/>
      <c r="J35" s="142"/>
      <c r="K35" s="142"/>
      <c r="L35" s="142"/>
      <c r="M35" s="142"/>
      <c r="N35" s="142"/>
      <c r="O35" s="142"/>
      <c r="P35" s="143"/>
      <c r="Q35" s="144"/>
      <c r="R35" s="144"/>
      <c r="S35" s="144"/>
      <c r="T35" s="144"/>
      <c r="U35" s="144"/>
      <c r="V35" s="144"/>
      <c r="W35" s="144"/>
      <c r="X35" s="144"/>
      <c r="Y35" s="144"/>
      <c r="Z35" s="144"/>
      <c r="AA35" s="144"/>
      <c r="AB35" s="144"/>
      <c r="AC35" s="143"/>
      <c r="AD35" s="144"/>
      <c r="AE35" s="144"/>
      <c r="AF35" s="144"/>
      <c r="AG35" s="144"/>
      <c r="AH35" s="144"/>
      <c r="AI35" s="144"/>
      <c r="AJ35" s="144"/>
      <c r="AK35" s="144"/>
      <c r="AL35" s="144"/>
      <c r="AM35" s="144"/>
      <c r="AN35" s="144"/>
      <c r="AO35" s="144"/>
    </row>
    <row r="36" spans="2:41">
      <c r="B36" s="171" t="s">
        <v>383</v>
      </c>
      <c r="C36" s="48"/>
      <c r="D36" s="153"/>
      <c r="E36" s="153"/>
      <c r="F36" s="153"/>
      <c r="G36" s="153"/>
      <c r="H36" s="153"/>
      <c r="I36" s="153"/>
      <c r="J36" s="153"/>
      <c r="K36" s="153"/>
      <c r="L36" s="153"/>
      <c r="M36" s="153"/>
      <c r="N36" s="153"/>
      <c r="O36" s="153"/>
      <c r="P36" s="154"/>
      <c r="Q36" s="155"/>
      <c r="R36" s="155"/>
      <c r="S36" s="155"/>
      <c r="T36" s="155"/>
      <c r="U36" s="155"/>
      <c r="V36" s="155"/>
      <c r="W36" s="155"/>
      <c r="X36" s="155"/>
      <c r="Y36" s="155"/>
      <c r="Z36" s="155"/>
      <c r="AA36" s="155"/>
      <c r="AB36" s="155"/>
      <c r="AC36" s="154"/>
      <c r="AD36" s="155"/>
      <c r="AE36" s="155"/>
      <c r="AF36" s="155"/>
      <c r="AG36" s="155"/>
      <c r="AH36" s="155"/>
      <c r="AI36" s="155"/>
      <c r="AJ36" s="155"/>
      <c r="AK36" s="155"/>
      <c r="AL36" s="155"/>
      <c r="AM36" s="155"/>
      <c r="AN36" s="155"/>
      <c r="AO36" s="155"/>
    </row>
    <row r="37" spans="2:41">
      <c r="B37" s="172" t="s">
        <v>315</v>
      </c>
      <c r="C37" s="48"/>
      <c r="D37" s="153"/>
      <c r="E37" s="153"/>
      <c r="F37" s="153"/>
      <c r="G37" s="153"/>
      <c r="H37" s="153"/>
      <c r="I37" s="153"/>
      <c r="J37" s="153"/>
      <c r="K37" s="153"/>
      <c r="L37" s="153"/>
      <c r="M37" s="153"/>
      <c r="N37" s="153"/>
      <c r="O37" s="153"/>
      <c r="P37" s="154"/>
      <c r="Q37" s="155"/>
      <c r="R37" s="155"/>
      <c r="S37" s="155"/>
      <c r="T37" s="155"/>
      <c r="U37" s="155"/>
      <c r="V37" s="155"/>
      <c r="W37" s="155"/>
      <c r="X37" s="155"/>
      <c r="Y37" s="155"/>
      <c r="Z37" s="155"/>
      <c r="AA37" s="155"/>
      <c r="AB37" s="155"/>
      <c r="AC37" s="154"/>
      <c r="AD37" s="155"/>
      <c r="AE37" s="155"/>
      <c r="AF37" s="155"/>
      <c r="AG37" s="155"/>
      <c r="AH37" s="155"/>
      <c r="AI37" s="155"/>
      <c r="AJ37" s="155"/>
      <c r="AK37" s="155"/>
      <c r="AL37" s="155"/>
      <c r="AM37" s="155"/>
      <c r="AN37" s="155"/>
      <c r="AO37" s="155"/>
    </row>
    <row r="38" spans="2:41">
      <c r="B38" s="172" t="s">
        <v>315</v>
      </c>
      <c r="C38" s="48"/>
      <c r="D38" s="153"/>
      <c r="E38" s="153"/>
      <c r="F38" s="153"/>
      <c r="G38" s="153"/>
      <c r="H38" s="153"/>
      <c r="I38" s="153"/>
      <c r="J38" s="153"/>
      <c r="K38" s="153"/>
      <c r="L38" s="153"/>
      <c r="M38" s="153"/>
      <c r="N38" s="153"/>
      <c r="O38" s="153"/>
      <c r="P38" s="154"/>
      <c r="Q38" s="155"/>
      <c r="R38" s="155"/>
      <c r="S38" s="155"/>
      <c r="T38" s="155"/>
      <c r="U38" s="155"/>
      <c r="V38" s="155"/>
      <c r="W38" s="155"/>
      <c r="X38" s="155"/>
      <c r="Y38" s="155"/>
      <c r="Z38" s="155"/>
      <c r="AA38" s="155"/>
      <c r="AB38" s="155"/>
      <c r="AC38" s="154"/>
      <c r="AD38" s="155"/>
      <c r="AE38" s="155"/>
      <c r="AF38" s="155"/>
      <c r="AG38" s="155"/>
      <c r="AH38" s="155"/>
      <c r="AI38" s="155"/>
      <c r="AJ38" s="155"/>
      <c r="AK38" s="155"/>
      <c r="AL38" s="155"/>
      <c r="AM38" s="155"/>
      <c r="AN38" s="155"/>
      <c r="AO38" s="155"/>
    </row>
    <row r="39" spans="2:41">
      <c r="B39" s="25" t="s">
        <v>315</v>
      </c>
      <c r="C39" s="48"/>
      <c r="D39" s="156"/>
      <c r="E39" s="156"/>
      <c r="F39" s="153"/>
      <c r="G39" s="153"/>
      <c r="H39" s="153"/>
      <c r="I39" s="153"/>
      <c r="J39" s="153"/>
      <c r="K39" s="153"/>
      <c r="L39" s="153"/>
      <c r="M39" s="153"/>
      <c r="N39" s="153"/>
      <c r="O39" s="153"/>
      <c r="P39" s="154"/>
      <c r="Q39" s="155"/>
      <c r="R39" s="155"/>
      <c r="S39" s="155"/>
      <c r="T39" s="155"/>
      <c r="U39" s="155"/>
      <c r="V39" s="155"/>
      <c r="W39" s="155"/>
      <c r="X39" s="155"/>
      <c r="Y39" s="155"/>
      <c r="Z39" s="155"/>
      <c r="AA39" s="155"/>
      <c r="AB39" s="155"/>
      <c r="AC39" s="154"/>
      <c r="AD39" s="155"/>
      <c r="AE39" s="155"/>
      <c r="AF39" s="155"/>
      <c r="AG39" s="155"/>
      <c r="AH39" s="155"/>
      <c r="AI39" s="155"/>
      <c r="AJ39" s="155"/>
      <c r="AK39" s="155"/>
      <c r="AL39" s="155"/>
      <c r="AM39" s="155"/>
      <c r="AN39" s="155"/>
      <c r="AO39" s="155"/>
    </row>
    <row r="40" spans="2:41">
      <c r="B40" s="27" t="s">
        <v>378</v>
      </c>
      <c r="C40" s="58"/>
      <c r="D40" s="61">
        <f>SUM(D7:D12,D15)-SUM(D17:D39)</f>
        <v>0</v>
      </c>
      <c r="E40" s="61">
        <f t="shared" ref="E40:O42" si="0">SUM(E7:E12,E15)-SUM(E17:E39)</f>
        <v>0</v>
      </c>
      <c r="F40" s="61">
        <f t="shared" si="0"/>
        <v>0</v>
      </c>
      <c r="G40" s="61">
        <f t="shared" si="0"/>
        <v>0</v>
      </c>
      <c r="H40" s="61">
        <f t="shared" si="0"/>
        <v>0</v>
      </c>
      <c r="I40" s="61">
        <f t="shared" si="0"/>
        <v>0</v>
      </c>
      <c r="J40" s="61">
        <f t="shared" si="0"/>
        <v>0</v>
      </c>
      <c r="K40" s="61">
        <f t="shared" si="0"/>
        <v>0</v>
      </c>
      <c r="L40" s="61">
        <f t="shared" si="0"/>
        <v>0</v>
      </c>
      <c r="M40" s="61">
        <f t="shared" si="0"/>
        <v>0</v>
      </c>
      <c r="N40" s="61">
        <f t="shared" si="0"/>
        <v>0</v>
      </c>
      <c r="O40" s="61">
        <f t="shared" si="0"/>
        <v>0</v>
      </c>
      <c r="P40" s="65"/>
      <c r="Q40" s="61">
        <f>SUM(Q7:Q12,Q15)-SUM(Q17:Q39)</f>
        <v>0</v>
      </c>
      <c r="R40" s="61">
        <f t="shared" ref="R40:AB42" si="1">SUM(R7:R12,R15)-SUM(R17:R39)</f>
        <v>0</v>
      </c>
      <c r="S40" s="61">
        <f t="shared" si="1"/>
        <v>0</v>
      </c>
      <c r="T40" s="61">
        <f t="shared" si="1"/>
        <v>0</v>
      </c>
      <c r="U40" s="61">
        <f t="shared" si="1"/>
        <v>0</v>
      </c>
      <c r="V40" s="61">
        <f t="shared" si="1"/>
        <v>0</v>
      </c>
      <c r="W40" s="61">
        <f t="shared" si="1"/>
        <v>0</v>
      </c>
      <c r="X40" s="61">
        <f t="shared" si="1"/>
        <v>0</v>
      </c>
      <c r="Y40" s="61">
        <f t="shared" si="1"/>
        <v>0</v>
      </c>
      <c r="Z40" s="61">
        <f t="shared" si="1"/>
        <v>0</v>
      </c>
      <c r="AA40" s="61">
        <f t="shared" si="1"/>
        <v>0</v>
      </c>
      <c r="AB40" s="61">
        <f t="shared" si="1"/>
        <v>0</v>
      </c>
      <c r="AC40" s="65"/>
      <c r="AD40" s="61">
        <f>SUM(AD7:AD12,AD15)-SUM(AD17:AD39)</f>
        <v>0</v>
      </c>
      <c r="AE40" s="61">
        <f t="shared" ref="AE40:AO42" si="2">SUM(AE7:AE12,AE15)-SUM(AE17:AE39)</f>
        <v>0</v>
      </c>
      <c r="AF40" s="61">
        <f t="shared" si="2"/>
        <v>0</v>
      </c>
      <c r="AG40" s="61">
        <f t="shared" si="2"/>
        <v>0</v>
      </c>
      <c r="AH40" s="61">
        <f t="shared" si="2"/>
        <v>0</v>
      </c>
      <c r="AI40" s="61">
        <f t="shared" si="2"/>
        <v>0</v>
      </c>
      <c r="AJ40" s="61">
        <f t="shared" si="2"/>
        <v>0</v>
      </c>
      <c r="AK40" s="61">
        <f t="shared" si="2"/>
        <v>0</v>
      </c>
      <c r="AL40" s="61">
        <f t="shared" si="2"/>
        <v>0</v>
      </c>
      <c r="AM40" s="61">
        <f t="shared" si="2"/>
        <v>0</v>
      </c>
      <c r="AN40" s="61">
        <f t="shared" si="2"/>
        <v>0</v>
      </c>
      <c r="AO40" s="61">
        <f t="shared" si="2"/>
        <v>0</v>
      </c>
    </row>
    <row r="41" spans="2:41">
      <c r="D41" s="48"/>
      <c r="E41" s="48"/>
      <c r="AC41" s="32"/>
    </row>
    <row r="42" spans="2:41">
      <c r="B42" s="27" t="s">
        <v>379</v>
      </c>
      <c r="C42" s="58"/>
      <c r="D42" s="61">
        <f>SUM(D9:D14,D17)-SUM(D19:D41)</f>
        <v>0</v>
      </c>
      <c r="E42" s="61">
        <f t="shared" si="0"/>
        <v>0</v>
      </c>
      <c r="F42" s="61">
        <f t="shared" si="0"/>
        <v>0</v>
      </c>
      <c r="G42" s="61">
        <f t="shared" si="0"/>
        <v>0</v>
      </c>
      <c r="H42" s="61">
        <f t="shared" si="0"/>
        <v>0</v>
      </c>
      <c r="I42" s="61">
        <f t="shared" si="0"/>
        <v>0</v>
      </c>
      <c r="J42" s="61">
        <f t="shared" si="0"/>
        <v>0</v>
      </c>
      <c r="K42" s="61">
        <f t="shared" si="0"/>
        <v>0</v>
      </c>
      <c r="L42" s="61">
        <f t="shared" si="0"/>
        <v>0</v>
      </c>
      <c r="M42" s="61">
        <f t="shared" si="0"/>
        <v>0</v>
      </c>
      <c r="N42" s="61">
        <f t="shared" si="0"/>
        <v>0</v>
      </c>
      <c r="O42" s="61">
        <f t="shared" si="0"/>
        <v>0</v>
      </c>
      <c r="P42" s="65"/>
      <c r="Q42" s="61">
        <f>SUM(Q9:Q14,Q17)-SUM(Q19:Q41)</f>
        <v>0</v>
      </c>
      <c r="R42" s="61">
        <f t="shared" si="1"/>
        <v>0</v>
      </c>
      <c r="S42" s="61">
        <f t="shared" si="1"/>
        <v>0</v>
      </c>
      <c r="T42" s="61">
        <f t="shared" si="1"/>
        <v>0</v>
      </c>
      <c r="U42" s="61">
        <f t="shared" si="1"/>
        <v>0</v>
      </c>
      <c r="V42" s="61">
        <f t="shared" si="1"/>
        <v>0</v>
      </c>
      <c r="W42" s="61">
        <f t="shared" si="1"/>
        <v>0</v>
      </c>
      <c r="X42" s="61">
        <f t="shared" si="1"/>
        <v>0</v>
      </c>
      <c r="Y42" s="61">
        <f t="shared" si="1"/>
        <v>0</v>
      </c>
      <c r="Z42" s="61">
        <f t="shared" si="1"/>
        <v>0</v>
      </c>
      <c r="AA42" s="61">
        <f t="shared" si="1"/>
        <v>0</v>
      </c>
      <c r="AB42" s="61">
        <f t="shared" si="1"/>
        <v>0</v>
      </c>
      <c r="AC42" s="65"/>
      <c r="AD42" s="61">
        <f>SUM(AD9:AD14,AD17)-SUM(AD19:AD41)</f>
        <v>0</v>
      </c>
      <c r="AE42" s="61">
        <f t="shared" si="2"/>
        <v>0</v>
      </c>
      <c r="AF42" s="61">
        <f t="shared" si="2"/>
        <v>0</v>
      </c>
      <c r="AG42" s="61">
        <f t="shared" si="2"/>
        <v>0</v>
      </c>
      <c r="AH42" s="61">
        <f t="shared" si="2"/>
        <v>0</v>
      </c>
      <c r="AI42" s="61">
        <f t="shared" si="2"/>
        <v>0</v>
      </c>
      <c r="AJ42" s="61">
        <f t="shared" si="2"/>
        <v>0</v>
      </c>
      <c r="AK42" s="61">
        <f t="shared" si="2"/>
        <v>0</v>
      </c>
      <c r="AL42" s="61">
        <f t="shared" si="2"/>
        <v>0</v>
      </c>
      <c r="AM42" s="61">
        <f t="shared" si="2"/>
        <v>0</v>
      </c>
      <c r="AN42" s="61">
        <f t="shared" si="2"/>
        <v>0</v>
      </c>
      <c r="AO42" s="61">
        <f t="shared" si="2"/>
        <v>0</v>
      </c>
    </row>
    <row r="43" spans="2:41">
      <c r="AC43" s="32"/>
    </row>
  </sheetData>
  <mergeCells count="3">
    <mergeCell ref="D3:O3"/>
    <mergeCell ref="Q3:AB3"/>
    <mergeCell ref="AD3:AO3"/>
  </mergeCells>
  <conditionalFormatting sqref="D40:AO40">
    <cfRule type="cellIs" dxfId="3" priority="3" operator="greaterThan">
      <formula>0</formula>
    </cfRule>
    <cfRule type="cellIs" dxfId="2" priority="4" operator="lessThan">
      <formula>0</formula>
    </cfRule>
  </conditionalFormatting>
  <conditionalFormatting sqref="D42:AO42">
    <cfRule type="cellIs" dxfId="1" priority="1" operator="greaterThan">
      <formula>0</formula>
    </cfRule>
    <cfRule type="cellIs" dxfId="0" priority="2" operator="lessThan">
      <formula>0</formula>
    </cfRule>
  </conditionalFormatting>
  <dataValidations count="1">
    <dataValidation type="list" allowBlank="1" showInputMessage="1" showErrorMessage="1" sqref="E5:AO5">
      <formula1>#REF!</formula1>
    </dataValidation>
  </dataValidations>
  <pageMargins left="0.7" right="0.7" top="0.75" bottom="0.75" header="0.3" footer="0.3"/>
  <pageSetup orientation="portrait" horizontalDpi="0" verticalDpi="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'Calculations (INTERNAL)'!$F$80:$F$91</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68"/>
  <sheetViews>
    <sheetView workbookViewId="0">
      <selection activeCell="H11" sqref="H11"/>
    </sheetView>
  </sheetViews>
  <sheetFormatPr defaultColWidth="8.85546875" defaultRowHeight="12.75"/>
  <cols>
    <col min="1" max="1" width="5.140625" style="100" customWidth="1"/>
    <col min="2" max="2" width="25.85546875" style="100" bestFit="1" customWidth="1"/>
    <col min="3" max="3" width="16.85546875" style="100" bestFit="1" customWidth="1"/>
    <col min="4" max="4" width="5.140625" style="100" customWidth="1"/>
    <col min="5" max="5" width="18.28515625" style="100" bestFit="1" customWidth="1"/>
    <col min="6" max="6" width="6.7109375" style="100" customWidth="1"/>
    <col min="7" max="7" width="31.7109375" style="100" bestFit="1" customWidth="1"/>
    <col min="8" max="8" width="11.140625" style="100" customWidth="1"/>
    <col min="9" max="9" width="8.85546875" style="100"/>
    <col min="10" max="10" width="11.7109375" style="100" customWidth="1"/>
    <col min="11" max="16384" width="8.85546875" style="100"/>
  </cols>
  <sheetData>
    <row r="1" spans="1:10" ht="15.75">
      <c r="B1" s="197" t="s">
        <v>364</v>
      </c>
      <c r="C1" s="197"/>
      <c r="D1" s="197"/>
      <c r="E1" s="197"/>
      <c r="F1" s="197"/>
      <c r="G1" s="197"/>
      <c r="H1" s="197"/>
      <c r="I1" s="197"/>
      <c r="J1" s="197"/>
    </row>
    <row r="2" spans="1:10">
      <c r="C2" s="101"/>
      <c r="E2" s="101"/>
    </row>
    <row r="3" spans="1:10">
      <c r="B3" s="198" t="s">
        <v>339</v>
      </c>
      <c r="C3" s="157">
        <v>12</v>
      </c>
      <c r="D3" s="102"/>
      <c r="E3" s="199" t="s">
        <v>341</v>
      </c>
      <c r="F3" s="157">
        <v>4</v>
      </c>
    </row>
    <row r="4" spans="1:10">
      <c r="A4" s="103"/>
      <c r="B4" s="198"/>
      <c r="C4" s="104" t="str">
        <f>INDEX('Budget (Base)'!D4:AO5,2,MATCH(C3,'Budget (Base)'!D4:AO4,0))</f>
        <v>December</v>
      </c>
      <c r="D4" s="102"/>
      <c r="E4" s="200"/>
      <c r="F4" s="105" t="str">
        <f>INDEX('Budget (Base)'!D4:AO5,2,MATCH(F3,'Budget (Base)'!D4:AO4,0))</f>
        <v>April</v>
      </c>
    </row>
    <row r="5" spans="1:10">
      <c r="C5" s="106"/>
      <c r="E5" s="106"/>
      <c r="F5" s="106"/>
      <c r="G5" s="103"/>
      <c r="H5" s="103"/>
      <c r="I5" s="103"/>
      <c r="J5" s="103"/>
    </row>
    <row r="6" spans="1:10">
      <c r="A6" s="107"/>
      <c r="B6" s="194" t="s">
        <v>336</v>
      </c>
      <c r="C6" s="195"/>
      <c r="D6" s="195"/>
      <c r="E6" s="196"/>
      <c r="G6" s="194" t="s">
        <v>340</v>
      </c>
      <c r="H6" s="195"/>
      <c r="I6" s="195"/>
      <c r="J6" s="196"/>
    </row>
    <row r="7" spans="1:10">
      <c r="A7" s="107"/>
      <c r="B7" s="108"/>
      <c r="C7" s="109" t="s">
        <v>337</v>
      </c>
      <c r="D7" s="110"/>
      <c r="E7" s="111" t="s">
        <v>338</v>
      </c>
      <c r="G7" s="112"/>
      <c r="H7" s="109" t="s">
        <v>337</v>
      </c>
      <c r="I7" s="110"/>
      <c r="J7" s="111" t="s">
        <v>338</v>
      </c>
    </row>
    <row r="8" spans="1:10">
      <c r="A8" s="107"/>
      <c r="B8" s="43" t="s">
        <v>0</v>
      </c>
      <c r="C8" s="114"/>
      <c r="D8" s="102"/>
      <c r="E8" s="114"/>
      <c r="G8" s="26" t="s">
        <v>308</v>
      </c>
      <c r="H8" s="115"/>
      <c r="I8" s="116"/>
      <c r="J8" s="117"/>
    </row>
    <row r="9" spans="1:10">
      <c r="A9" s="107"/>
      <c r="B9" s="3" t="s">
        <v>2</v>
      </c>
      <c r="C9" s="119">
        <f>'Basic inputs'!D12</f>
        <v>2</v>
      </c>
      <c r="D9" s="102"/>
      <c r="E9" s="158">
        <v>2</v>
      </c>
      <c r="G9" s="25" t="s">
        <v>309</v>
      </c>
      <c r="H9" s="120">
        <f>INDEX('Budget (Base)'!$B$4:$AO$40,(MATCH(G9,'Budget (Base)'!$B$4:$B$40,0)),MATCH($C$3,'Budget (Base)'!$B$4:$AO$4,0))</f>
        <v>2150</v>
      </c>
      <c r="I9" s="116"/>
      <c r="J9" s="121">
        <f>E23</f>
        <v>1200</v>
      </c>
    </row>
    <row r="10" spans="1:10">
      <c r="A10" s="107"/>
      <c r="B10" s="118" t="s">
        <v>240</v>
      </c>
      <c r="C10" s="119">
        <f>'Basic inputs'!D14</f>
        <v>3</v>
      </c>
      <c r="D10" s="102"/>
      <c r="E10" s="158">
        <v>3</v>
      </c>
      <c r="G10" s="25" t="s">
        <v>304</v>
      </c>
      <c r="H10" s="121">
        <f>INDEX('Budget (Base)'!$B$4:$AO$40,(MATCH(G10,'Budget (Base)'!$B$4:$B$40,0)),MATCH($C$3,'Budget (Base)'!$B$4:$AO$4,0))</f>
        <v>803</v>
      </c>
      <c r="I10" s="116"/>
      <c r="J10" s="121">
        <f>IF(F3&lt;22,INDEX('Calculations (INTERNAL)'!E5:H13,(MATCH(E13,'Calculations (INTERNAL)'!E5:E13,0)),MATCH(E27,'Calculations (INTERNAL)'!E5:H5,0)),0)</f>
        <v>803</v>
      </c>
    </row>
    <row r="11" spans="1:10">
      <c r="A11" s="107"/>
      <c r="B11" s="3" t="s">
        <v>5</v>
      </c>
      <c r="C11" s="119">
        <f>'Basic inputs'!D15</f>
        <v>0</v>
      </c>
      <c r="D11" s="102"/>
      <c r="E11" s="158">
        <v>0</v>
      </c>
      <c r="G11" s="25" t="s">
        <v>305</v>
      </c>
      <c r="H11" s="121">
        <f>INDEX('Budget (Base)'!$B$4:$AO$40,(MATCH(G11,'Budget (Base)'!$B$4:$B$40,0)),MATCH($C$3,'Budget (Base)'!$B$4:$AO$4,0))</f>
        <v>0</v>
      </c>
      <c r="I11" s="116"/>
      <c r="J11" s="121">
        <f>IF(AND(J10=0,SUM(E17,E18)&gt;0,E23&lt;1070),733,0)</f>
        <v>0</v>
      </c>
    </row>
    <row r="12" spans="1:10">
      <c r="A12" s="107"/>
      <c r="B12" s="3" t="s">
        <v>6</v>
      </c>
      <c r="C12" s="119">
        <f>'Basic inputs'!D16</f>
        <v>0</v>
      </c>
      <c r="D12" s="102"/>
      <c r="E12" s="158">
        <v>0</v>
      </c>
      <c r="G12" s="25" t="s">
        <v>310</v>
      </c>
      <c r="H12" s="121">
        <f>INDEX('Budget (Base)'!$B$4:$AO$40,(MATCH(G12,'Budget (Base)'!$B$4:$B$40,0)),MATCH($C$3,'Budget (Base)'!$B$4:$AO$4,0))</f>
        <v>0</v>
      </c>
      <c r="I12" s="116"/>
      <c r="J12" s="121">
        <v>0</v>
      </c>
    </row>
    <row r="13" spans="1:10">
      <c r="A13" s="107"/>
      <c r="B13" s="3" t="s">
        <v>214</v>
      </c>
      <c r="C13" s="119">
        <f>'Basic inputs'!D17</f>
        <v>5</v>
      </c>
      <c r="D13" s="102"/>
      <c r="E13" s="158">
        <v>5</v>
      </c>
      <c r="G13" s="25" t="s">
        <v>307</v>
      </c>
      <c r="H13" s="121">
        <f>INDEX('Budget (Base)'!$B$4:$AO$40,(MATCH(G13,'Budget (Base)'!$B$4:$B$40,0)),MATCH($C$3,'Budget (Base)'!$B$4:$AO$4,0))</f>
        <v>110</v>
      </c>
      <c r="I13" s="116"/>
      <c r="J13" s="121">
        <f>IF(AND(E23&lt;VLOOKUP(E13,'Calculations (INTERNAL)'!$J$33:$L$40,3,FALSE),SUM(E17:E19)&gt;0),110*VLOOKUP(F4,'Calculations (INTERNAL)'!$O$32:$P$43,2,FALSE), IF(E23&lt;VLOOKUP(E13,'Calculations (INTERNAL)'!$J$33:$L$40,3,FALSE),100.83*VLOOKUP(F4,'Calculations (INTERNAL)'!$O$32:$P$43,2,FALSE),0))</f>
        <v>110</v>
      </c>
    </row>
    <row r="14" spans="1:10">
      <c r="A14" s="107"/>
      <c r="B14" s="3" t="s">
        <v>221</v>
      </c>
      <c r="C14" s="119">
        <f>'Basic inputs'!D18</f>
        <v>5125</v>
      </c>
      <c r="D14" s="102"/>
      <c r="E14" s="158">
        <v>4625</v>
      </c>
      <c r="G14" s="25" t="s">
        <v>306</v>
      </c>
      <c r="H14" s="121" t="str">
        <f>INDEX('Budget (Base)'!$B$4:$AO$40,(MATCH(G14,'Budget (Base)'!$B$4:$B$40,0)),MATCH($C$3,'Budget (Base)'!$B$4:$AO$4,0))</f>
        <v>$   760</v>
      </c>
      <c r="I14" s="116"/>
      <c r="J14" s="120" t="str">
        <f>'Calculations (INTERNAL)'!H75</f>
        <v>$   760</v>
      </c>
    </row>
    <row r="15" spans="1:10">
      <c r="A15" s="107"/>
      <c r="B15" s="122"/>
      <c r="C15" s="113"/>
      <c r="D15" s="102"/>
      <c r="E15" s="159"/>
      <c r="G15" s="25" t="s">
        <v>311</v>
      </c>
      <c r="H15" s="121">
        <f>INDEX('Budget (Base)'!$B$4:$AO$40,(MATCH(G15,'Budget (Base)'!$B$4:$B$40,0)),MATCH($C$3,'Budget (Base)'!$B$4:$AO$4,0))</f>
        <v>500</v>
      </c>
      <c r="I15" s="116"/>
      <c r="J15" s="121">
        <f>IF(F3&lt;=E20,'Budget (Base)'!F17-'Budget (Base)'!F13-'Budget (Base)'!F14,IF('Budget (Base)'!F17&gt;VLOOKUP(E30,'Calculations (INTERNAL)'!$J$24:$K$27,2,FALSE),'Budget (Base)'!F17-VLOOKUP(E30,'Calculations (INTERNAL)'!$J$24:$K$27,2,FALSE),0))</f>
        <v>850</v>
      </c>
    </row>
    <row r="16" spans="1:10">
      <c r="A16" s="107"/>
      <c r="B16" s="2" t="s">
        <v>7</v>
      </c>
      <c r="C16" s="114"/>
      <c r="D16" s="102"/>
      <c r="E16" s="160"/>
      <c r="G16" s="66" t="s">
        <v>312</v>
      </c>
      <c r="H16" s="117"/>
      <c r="I16" s="116"/>
      <c r="J16" s="121"/>
    </row>
    <row r="17" spans="1:10">
      <c r="A17" s="107"/>
      <c r="B17" s="3" t="s">
        <v>216</v>
      </c>
      <c r="C17" s="119">
        <f>'Basic inputs'!D22</f>
        <v>1</v>
      </c>
      <c r="D17" s="102"/>
      <c r="E17" s="158">
        <v>1</v>
      </c>
      <c r="G17" s="25" t="s">
        <v>313</v>
      </c>
      <c r="H17" s="121">
        <f>INDEX('Budget (Base)'!$B$4:$AO$40,(MATCH(G17,'Budget (Base)'!$B$4:$B$40,0)),MATCH($C$3,'Budget (Base)'!$B$4:$AO$4,0))</f>
        <v>1800</v>
      </c>
      <c r="I17" s="116"/>
      <c r="J17" s="121">
        <f>E29</f>
        <v>1800</v>
      </c>
    </row>
    <row r="18" spans="1:10">
      <c r="A18" s="107"/>
      <c r="B18" s="3" t="s">
        <v>352</v>
      </c>
      <c r="C18" s="119">
        <f>'Basic inputs'!D23</f>
        <v>0</v>
      </c>
      <c r="D18" s="102"/>
      <c r="E18" s="158">
        <v>0</v>
      </c>
      <c r="G18" s="171" t="s">
        <v>12</v>
      </c>
      <c r="H18" s="121">
        <f>INDEX('Budget (Base)'!$B$4:$AO$40,(MATCH(G18,'Budget (Base)'!$B$4:$B$40,0)),MATCH($C$3,'Budget (Base)'!$B$4:$AO$4,0))</f>
        <v>0</v>
      </c>
      <c r="I18" s="116"/>
      <c r="J18" s="121">
        <f>E31</f>
        <v>0</v>
      </c>
    </row>
    <row r="19" spans="1:10">
      <c r="A19" s="107"/>
      <c r="B19" s="3" t="s">
        <v>239</v>
      </c>
      <c r="C19" s="119">
        <f>'Basic inputs'!D24</f>
        <v>0</v>
      </c>
      <c r="D19" s="102"/>
      <c r="E19" s="158">
        <v>0</v>
      </c>
      <c r="G19" s="171" t="s">
        <v>316</v>
      </c>
      <c r="H19" s="121">
        <f>INDEX('Budget (Base)'!$B$4:$AO$40,(MATCH(G19,'Budget (Base)'!$B$4:$B$40,0)),MATCH($C$3,'Budget (Base)'!$B$4:$AO$4,0))</f>
        <v>127</v>
      </c>
      <c r="I19" s="116"/>
      <c r="J19" s="121">
        <f>E32</f>
        <v>127</v>
      </c>
    </row>
    <row r="20" spans="1:10">
      <c r="A20" s="107"/>
      <c r="B20" s="3" t="s">
        <v>229</v>
      </c>
      <c r="C20" s="119">
        <f>'Basic inputs'!D25</f>
        <v>3</v>
      </c>
      <c r="D20" s="102"/>
      <c r="E20" s="158">
        <v>3</v>
      </c>
      <c r="G20" s="171" t="s">
        <v>13</v>
      </c>
      <c r="H20" s="121">
        <f>INDEX('Budget (Base)'!$B$4:$AO$40,(MATCH(G20,'Budget (Base)'!$B$4:$B$40,0)),MATCH($C$3,'Budget (Base)'!$B$4:$AO$4,0))</f>
        <v>0</v>
      </c>
      <c r="I20" s="116"/>
      <c r="J20" s="121">
        <f>IF(E33 = "Oil",E35*VLOOKUP(F4,'Calculations (INTERNAL)'!$O$32:$P$43,2,FALSE),0)</f>
        <v>0</v>
      </c>
    </row>
    <row r="21" spans="1:10">
      <c r="A21" s="107"/>
      <c r="B21" s="122"/>
      <c r="C21" s="113"/>
      <c r="D21" s="102"/>
      <c r="E21" s="159"/>
      <c r="G21" s="171" t="s">
        <v>11</v>
      </c>
      <c r="H21" s="121">
        <f>INDEX('Budget (Base)'!$B$4:$AO$40,(MATCH(G21,'Budget (Base)'!$B$4:$B$40,0)),MATCH($C$3,'Budget (Base)'!$B$4:$AO$4,0))</f>
        <v>333</v>
      </c>
      <c r="I21" s="116"/>
      <c r="J21" s="121">
        <f>IF(E33="Gas",E34*VLOOKUP(F4,'Calculations (INTERNAL)'!$O$32:$P$43,2,FALSE),0)</f>
        <v>333</v>
      </c>
    </row>
    <row r="22" spans="1:10">
      <c r="A22" s="107"/>
      <c r="B22" s="4" t="s">
        <v>353</v>
      </c>
      <c r="C22" s="123"/>
      <c r="D22" s="102"/>
      <c r="E22" s="161"/>
      <c r="G22" s="171" t="s">
        <v>302</v>
      </c>
      <c r="H22" s="121" t="str">
        <f>INDEX('Budget (Base)'!$B$4:$AO$40,(MATCH(G22,'Budget (Base)'!$B$4:$B$40,0)),MATCH($C$3,'Budget (Base)'!$B$4:$AO$4,0))</f>
        <v>$   760</v>
      </c>
      <c r="I22" s="116"/>
      <c r="J22" s="121">
        <f>E48</f>
        <v>640</v>
      </c>
    </row>
    <row r="23" spans="1:10">
      <c r="A23" s="107"/>
      <c r="B23" s="95" t="s">
        <v>354</v>
      </c>
      <c r="C23" s="124">
        <f>'Basic inputs'!D29</f>
        <v>500</v>
      </c>
      <c r="D23" s="125"/>
      <c r="E23" s="162">
        <v>1200</v>
      </c>
      <c r="G23" s="171" t="s">
        <v>17</v>
      </c>
      <c r="H23" s="121">
        <f>INDEX('Budget (Base)'!$B$4:$AO$40,(MATCH(G23,'Budget (Base)'!$B$4:$B$40,0)),MATCH($C$3,'Budget (Base)'!$B$4:$AO$4,0))</f>
        <v>0</v>
      </c>
      <c r="I23" s="116"/>
      <c r="J23" s="121">
        <f>E54</f>
        <v>0</v>
      </c>
    </row>
    <row r="24" spans="1:10">
      <c r="A24" s="107"/>
      <c r="B24" s="122"/>
      <c r="C24" s="113"/>
      <c r="D24" s="102"/>
      <c r="E24" s="159"/>
      <c r="G24" s="171" t="s">
        <v>382</v>
      </c>
      <c r="H24" s="121">
        <f>INDEX('Budget (Base)'!$B$4:$AO$40,(MATCH(G24,'Budget (Base)'!$B$4:$B$40,0)),MATCH($C$3,'Budget (Base)'!$B$4:$AO$4,0))</f>
        <v>40</v>
      </c>
      <c r="I24" s="116"/>
      <c r="J24" s="121">
        <f>E49</f>
        <v>40</v>
      </c>
    </row>
    <row r="25" spans="1:10">
      <c r="A25" s="107"/>
      <c r="B25" s="34" t="s">
        <v>322</v>
      </c>
      <c r="C25" s="126"/>
      <c r="D25" s="102"/>
      <c r="E25" s="163"/>
      <c r="G25" s="172" t="s">
        <v>15</v>
      </c>
      <c r="H25" s="121">
        <f>INDEX('Budget (Base)'!$B$4:$AO$40,(MATCH(G25,'Budget (Base)'!$B$4:$B$40,0)),MATCH($C$3,'Budget (Base)'!$B$4:$AO$4,0))</f>
        <v>20</v>
      </c>
      <c r="I25" s="116"/>
      <c r="J25" s="121">
        <f>E50</f>
        <v>50</v>
      </c>
    </row>
    <row r="26" spans="1:10">
      <c r="A26" s="107"/>
      <c r="B26" s="169" t="s">
        <v>60</v>
      </c>
      <c r="C26" s="127" t="str">
        <f>'Basic inputs'!E33</f>
        <v>Bethany</v>
      </c>
      <c r="D26" s="102"/>
      <c r="E26" s="164" t="s">
        <v>67</v>
      </c>
      <c r="G26" s="172" t="s">
        <v>16</v>
      </c>
      <c r="H26" s="121">
        <f>INDEX('Budget (Base)'!$B$4:$AO$40,(MATCH(G26,'Budget (Base)'!$B$4:$B$40,0)),MATCH($C$3,'Budget (Base)'!$B$4:$AO$4,0))</f>
        <v>0</v>
      </c>
      <c r="I26" s="116"/>
      <c r="J26" s="121">
        <f>E52</f>
        <v>0</v>
      </c>
    </row>
    <row r="27" spans="1:10">
      <c r="A27" s="107"/>
      <c r="B27" s="169" t="s">
        <v>61</v>
      </c>
      <c r="C27" s="127" t="str">
        <f>'Basic inputs'!E34</f>
        <v>B</v>
      </c>
      <c r="D27" s="102"/>
      <c r="E27" s="165" t="str">
        <f>VLOOKUP(E26,'Calculations (INTERNAL)'!B4:C172,2, FALSE)</f>
        <v>B</v>
      </c>
      <c r="G27" s="171" t="s">
        <v>18</v>
      </c>
      <c r="H27" s="121">
        <f>INDEX('Budget (Base)'!$B$4:$AO$40,(MATCH(G27,'Budget (Base)'!$B$4:$B$40,0)),MATCH($C$3,'Budget (Base)'!$B$4:$AO$4,0))</f>
        <v>0</v>
      </c>
      <c r="I27" s="116"/>
      <c r="J27" s="121">
        <f>E53</f>
        <v>0</v>
      </c>
    </row>
    <row r="28" spans="1:10">
      <c r="A28" s="107"/>
      <c r="B28" s="169" t="s">
        <v>303</v>
      </c>
      <c r="C28" s="127">
        <f>'Basic inputs'!E35</f>
        <v>12</v>
      </c>
      <c r="D28" s="102"/>
      <c r="E28" s="164">
        <v>12</v>
      </c>
      <c r="G28" s="171" t="s">
        <v>19</v>
      </c>
      <c r="H28" s="121">
        <f>INDEX('Budget (Base)'!$B$4:$AO$40,(MATCH(G28,'Budget (Base)'!$B$4:$B$40,0)),MATCH($C$3,'Budget (Base)'!$B$4:$AO$4,0))</f>
        <v>0</v>
      </c>
      <c r="I28" s="116"/>
      <c r="J28" s="121">
        <f>E55</f>
        <v>0</v>
      </c>
    </row>
    <row r="29" spans="1:10">
      <c r="A29" s="107"/>
      <c r="B29" s="169" t="s">
        <v>9</v>
      </c>
      <c r="C29" s="127">
        <f>'Basic inputs'!E36</f>
        <v>1800</v>
      </c>
      <c r="D29" s="102"/>
      <c r="E29" s="164">
        <v>1800</v>
      </c>
      <c r="G29" s="171" t="s">
        <v>1</v>
      </c>
      <c r="H29" s="121">
        <f>INDEX('Budget (Base)'!$B$4:$AO$40,(MATCH(G29,'Budget (Base)'!$B$4:$B$40,0)),MATCH($C$3,'Budget (Base)'!$B$4:$AO$4,0))</f>
        <v>0</v>
      </c>
      <c r="I29" s="116"/>
      <c r="J29" s="121">
        <f>E40</f>
        <v>0</v>
      </c>
    </row>
    <row r="30" spans="1:10">
      <c r="A30" s="107"/>
      <c r="B30" s="169" t="s">
        <v>225</v>
      </c>
      <c r="C30" s="127">
        <f>'Basic inputs'!E37</f>
        <v>3</v>
      </c>
      <c r="D30" s="102"/>
      <c r="E30" s="164">
        <v>1</v>
      </c>
      <c r="G30" s="171" t="s">
        <v>219</v>
      </c>
      <c r="H30" s="121">
        <f>INDEX('Budget (Base)'!$B$4:$AO$40,(MATCH(G30,'Budget (Base)'!$B$4:$B$40,0)),MATCH($C$3,'Budget (Base)'!$B$4:$AO$4,0))</f>
        <v>0</v>
      </c>
      <c r="I30" s="116"/>
      <c r="J30" s="121">
        <f>IF(E39 = "yes",E68,0)</f>
        <v>0</v>
      </c>
    </row>
    <row r="31" spans="1:10">
      <c r="A31" s="107"/>
      <c r="B31" s="169" t="s">
        <v>12</v>
      </c>
      <c r="C31" s="127">
        <f>'Basic inputs'!E38</f>
        <v>0</v>
      </c>
      <c r="D31" s="102"/>
      <c r="E31" s="164">
        <v>0</v>
      </c>
      <c r="G31" s="171" t="s">
        <v>317</v>
      </c>
      <c r="H31" s="121">
        <f>INDEX('Budget (Base)'!$B$4:$AO$40,(MATCH(G31,'Budget (Base)'!$B$4:$B$40,0)),MATCH($C$3,'Budget (Base)'!$B$4:$AO$4,0))</f>
        <v>163.80000000000001</v>
      </c>
      <c r="I31" s="116"/>
      <c r="J31" s="121">
        <f>IF(E65="public transportation",E66,0)</f>
        <v>50</v>
      </c>
    </row>
    <row r="32" spans="1:10">
      <c r="A32" s="107"/>
      <c r="B32" s="169" t="s">
        <v>316</v>
      </c>
      <c r="C32" s="127">
        <f>'Basic inputs'!E39</f>
        <v>127</v>
      </c>
      <c r="D32" s="102"/>
      <c r="E32" s="164">
        <v>127</v>
      </c>
      <c r="G32" s="171" t="s">
        <v>345</v>
      </c>
      <c r="H32" s="121">
        <f>INDEX('Budget (Base)'!$B$4:$AO$40,(MATCH(G32,'Budget (Base)'!$B$4:$B$40,0)),MATCH($C$3,'Budget (Base)'!$B$4:$AO$4,0))</f>
        <v>0</v>
      </c>
      <c r="I32" s="116"/>
      <c r="J32" s="121">
        <f>IF(E65="car",E67,0)</f>
        <v>0</v>
      </c>
    </row>
    <row r="33" spans="1:10">
      <c r="A33" s="107"/>
      <c r="B33" s="169" t="s">
        <v>232</v>
      </c>
      <c r="C33" s="127" t="str">
        <f>'Basic inputs'!E40</f>
        <v>Gas</v>
      </c>
      <c r="D33" s="102"/>
      <c r="E33" s="164" t="s">
        <v>11</v>
      </c>
      <c r="G33" s="171" t="s">
        <v>314</v>
      </c>
      <c r="H33" s="121">
        <f>INDEX('Budget (Base)'!$B$4:$AO$40,(MATCH(G33,'Budget (Base)'!$B$4:$B$40,0)),MATCH($C$3,'Budget (Base)'!$B$4:$AO$4,0))</f>
        <v>0</v>
      </c>
      <c r="I33" s="116"/>
      <c r="J33" s="121">
        <f>E56</f>
        <v>0</v>
      </c>
    </row>
    <row r="34" spans="1:10">
      <c r="A34" s="107"/>
      <c r="B34" s="169" t="s">
        <v>11</v>
      </c>
      <c r="C34" s="127">
        <f>'Basic inputs'!E41</f>
        <v>333</v>
      </c>
      <c r="D34" s="102"/>
      <c r="E34" s="164">
        <v>333</v>
      </c>
      <c r="G34" s="171" t="s">
        <v>384</v>
      </c>
      <c r="H34" s="121">
        <f>INDEX('Budget (Base)'!$B$4:$AO$40,(MATCH(G34,'Budget (Base)'!$B$4:$B$40,0)),MATCH($C$3,'Budget (Base)'!$B$4:$AO$4,0))</f>
        <v>0</v>
      </c>
      <c r="I34" s="116"/>
      <c r="J34" s="121">
        <f>E59</f>
        <v>0</v>
      </c>
    </row>
    <row r="35" spans="1:10">
      <c r="A35" s="107"/>
      <c r="B35" s="169" t="s">
        <v>13</v>
      </c>
      <c r="C35" s="127">
        <f>'Basic inputs'!E42</f>
        <v>281.66667000000001</v>
      </c>
      <c r="D35" s="102"/>
      <c r="E35" s="164">
        <v>281.66667000000001</v>
      </c>
      <c r="G35" s="171" t="s">
        <v>320</v>
      </c>
      <c r="H35" s="121">
        <f>INDEX('Budget (Base)'!$B$4:$AO$40,(MATCH(G35,'Budget (Base)'!$B$4:$B$40,0)),MATCH($C$3,'Budget (Base)'!$B$4:$AO$4,0))</f>
        <v>100</v>
      </c>
      <c r="I35" s="116"/>
      <c r="J35" s="121">
        <f>E63</f>
        <v>0</v>
      </c>
    </row>
    <row r="36" spans="1:10">
      <c r="A36" s="107"/>
      <c r="B36" s="169" t="s">
        <v>269</v>
      </c>
      <c r="C36" s="127">
        <f>'Basic inputs'!E43</f>
        <v>2260</v>
      </c>
      <c r="D36" s="102"/>
      <c r="E36" s="164">
        <v>2260</v>
      </c>
      <c r="G36" s="171" t="s">
        <v>383</v>
      </c>
      <c r="H36" s="121">
        <f>INDEX('Budget (Base)'!$B$4:$AO$40,(MATCH(G36,'Budget (Base)'!$B$4:$B$40,0)),MATCH($C$3,'Budget (Base)'!$B$4:$AO$4,0))</f>
        <v>0</v>
      </c>
      <c r="I36" s="116"/>
      <c r="J36" s="121">
        <f>IF(F3=E58,E57,0)</f>
        <v>0</v>
      </c>
    </row>
    <row r="37" spans="1:10">
      <c r="A37" s="107"/>
      <c r="B37" s="122"/>
      <c r="C37" s="113"/>
      <c r="D37" s="102"/>
      <c r="E37" s="115"/>
      <c r="G37" s="172" t="s">
        <v>315</v>
      </c>
      <c r="H37" s="121">
        <f>INDEX('Budget (Base)'!$B$4:$AO$40,(MATCH(G37,'Budget (Base)'!$B$4:$B$40,0)),MATCH($C$3,'Budget (Base)'!$B$4:$AO$4,0))</f>
        <v>0</v>
      </c>
      <c r="I37" s="116"/>
      <c r="J37" s="121">
        <v>0</v>
      </c>
    </row>
    <row r="38" spans="1:10">
      <c r="A38" s="107"/>
      <c r="B38" s="18" t="s">
        <v>255</v>
      </c>
      <c r="C38" s="126"/>
      <c r="D38" s="102"/>
      <c r="E38" s="126"/>
      <c r="G38" s="172" t="s">
        <v>315</v>
      </c>
      <c r="H38" s="121">
        <f>INDEX('Budget (Base)'!$B$4:$AO$40,(MATCH(G38,'Budget (Base)'!$B$4:$B$40,0)),MATCH($C$3,'Budget (Base)'!$B$4:$AO$4,0))</f>
        <v>0</v>
      </c>
      <c r="I38" s="116"/>
      <c r="J38" s="121">
        <v>0</v>
      </c>
    </row>
    <row r="39" spans="1:10">
      <c r="A39" s="107"/>
      <c r="B39" s="42" t="s">
        <v>1</v>
      </c>
      <c r="C39" s="128" t="str">
        <f>'Basic inputs'!E46</f>
        <v>No</v>
      </c>
      <c r="D39" s="102"/>
      <c r="E39" s="166" t="s">
        <v>330</v>
      </c>
      <c r="G39" s="25" t="s">
        <v>315</v>
      </c>
      <c r="H39" s="121">
        <f>INDEX('Budget (Base)'!$B$4:$AO$40,(MATCH(G39,'Budget (Base)'!$B$4:$B$40,0)),MATCH($C$3,'Budget (Base)'!$B$4:$AO$4,0))</f>
        <v>0</v>
      </c>
      <c r="I39" s="116"/>
      <c r="J39" s="121">
        <v>0</v>
      </c>
    </row>
    <row r="40" spans="1:10">
      <c r="A40" s="107"/>
      <c r="B40" s="42" t="s">
        <v>388</v>
      </c>
      <c r="C40" s="128">
        <f>'Basic inputs'!E47</f>
        <v>0</v>
      </c>
      <c r="D40" s="102"/>
      <c r="E40" s="166">
        <v>0</v>
      </c>
      <c r="G40" s="27" t="s">
        <v>378</v>
      </c>
      <c r="H40" s="135">
        <f>INDEX('Budget (Base)'!$B$4:$AO$40,(MATCH(G40,'Budget (Base)'!$B$4:$B$40,0)),MATCH($C$3,'Budget (Base)'!$B$4:$AO$4,0))</f>
        <v>979.19999999999982</v>
      </c>
      <c r="I40" s="129"/>
      <c r="J40" s="136">
        <f>SUM(J9:J15)-SUM(J17:J39)</f>
        <v>-77</v>
      </c>
    </row>
    <row r="41" spans="1:10">
      <c r="A41" s="107"/>
      <c r="B41" s="19" t="s">
        <v>256</v>
      </c>
      <c r="C41" s="128">
        <f>'Basic inputs'!E48</f>
        <v>0</v>
      </c>
      <c r="D41" s="102"/>
      <c r="E41" s="166">
        <v>500</v>
      </c>
    </row>
    <row r="42" spans="1:10">
      <c r="A42" s="107"/>
      <c r="B42" s="42" t="s">
        <v>257</v>
      </c>
      <c r="C42" s="128">
        <f>'Basic inputs'!E49</f>
        <v>0</v>
      </c>
      <c r="D42" s="102"/>
      <c r="E42" s="166">
        <v>100</v>
      </c>
    </row>
    <row r="43" spans="1:10">
      <c r="A43" s="107"/>
      <c r="B43" s="42" t="s">
        <v>258</v>
      </c>
      <c r="C43" s="128">
        <f>'Basic inputs'!E50</f>
        <v>0</v>
      </c>
      <c r="D43" s="102"/>
      <c r="E43" s="166">
        <v>0</v>
      </c>
    </row>
    <row r="44" spans="1:10">
      <c r="A44" s="107"/>
      <c r="B44" s="42" t="s">
        <v>259</v>
      </c>
      <c r="C44" s="128">
        <f>'Basic inputs'!E51</f>
        <v>0</v>
      </c>
      <c r="D44" s="102"/>
      <c r="E44" s="166">
        <v>0</v>
      </c>
    </row>
    <row r="45" spans="1:10">
      <c r="A45" s="107"/>
      <c r="B45" s="42" t="s">
        <v>253</v>
      </c>
      <c r="C45" s="128">
        <f>'Basic inputs'!E52</f>
        <v>0</v>
      </c>
      <c r="D45" s="102"/>
      <c r="E45" s="166">
        <v>600</v>
      </c>
    </row>
    <row r="46" spans="1:10">
      <c r="A46" s="107"/>
      <c r="B46" s="122"/>
      <c r="C46" s="113"/>
      <c r="D46" s="102"/>
      <c r="E46" s="159"/>
    </row>
    <row r="47" spans="1:10">
      <c r="A47" s="107"/>
      <c r="B47" s="130" t="s">
        <v>315</v>
      </c>
      <c r="C47" s="126"/>
      <c r="D47" s="102"/>
      <c r="E47" s="163"/>
    </row>
    <row r="48" spans="1:10">
      <c r="A48" s="107"/>
      <c r="B48" s="170" t="s">
        <v>302</v>
      </c>
      <c r="C48" s="131" t="str">
        <f>'Basic inputs'!E55</f>
        <v>$   760</v>
      </c>
      <c r="D48" s="102"/>
      <c r="E48" s="157">
        <v>640</v>
      </c>
    </row>
    <row r="49" spans="1:5">
      <c r="A49" s="107"/>
      <c r="B49" s="170" t="s">
        <v>382</v>
      </c>
      <c r="C49" s="131">
        <f>'Basic inputs'!E56</f>
        <v>40</v>
      </c>
      <c r="D49" s="102"/>
      <c r="E49" s="157">
        <v>40</v>
      </c>
    </row>
    <row r="50" spans="1:5">
      <c r="A50" s="107"/>
      <c r="B50" s="172" t="s">
        <v>15</v>
      </c>
      <c r="C50" s="131">
        <f>'Basic inputs'!E58</f>
        <v>50</v>
      </c>
      <c r="D50" s="102"/>
      <c r="E50" s="157">
        <v>50</v>
      </c>
    </row>
    <row r="51" spans="1:5">
      <c r="A51" s="107"/>
      <c r="B51" s="170" t="s">
        <v>14</v>
      </c>
      <c r="C51" s="131">
        <f>'Basic inputs'!E59</f>
        <v>0</v>
      </c>
      <c r="D51" s="102"/>
      <c r="E51" s="157">
        <v>0</v>
      </c>
    </row>
    <row r="52" spans="1:5">
      <c r="A52" s="107"/>
      <c r="B52" s="170" t="s">
        <v>16</v>
      </c>
      <c r="C52" s="131">
        <f>'Basic inputs'!E60</f>
        <v>0</v>
      </c>
      <c r="D52" s="102"/>
      <c r="E52" s="157">
        <v>0</v>
      </c>
    </row>
    <row r="53" spans="1:5">
      <c r="A53" s="107"/>
      <c r="B53" s="170" t="s">
        <v>18</v>
      </c>
      <c r="C53" s="131">
        <f>'Basic inputs'!E61</f>
        <v>0</v>
      </c>
      <c r="D53" s="102"/>
      <c r="E53" s="157">
        <v>0</v>
      </c>
    </row>
    <row r="54" spans="1:5">
      <c r="A54" s="107"/>
      <c r="B54" s="170" t="s">
        <v>17</v>
      </c>
      <c r="C54" s="131">
        <f>'Basic inputs'!E62</f>
        <v>0</v>
      </c>
      <c r="D54" s="102"/>
      <c r="E54" s="157">
        <v>0</v>
      </c>
    </row>
    <row r="55" spans="1:5">
      <c r="A55" s="107"/>
      <c r="B55" s="170" t="s">
        <v>19</v>
      </c>
      <c r="C55" s="131">
        <f>'Basic inputs'!E63</f>
        <v>0</v>
      </c>
      <c r="D55" s="102"/>
      <c r="E55" s="157">
        <v>0</v>
      </c>
    </row>
    <row r="56" spans="1:5">
      <c r="A56" s="107"/>
      <c r="B56" s="170" t="s">
        <v>314</v>
      </c>
      <c r="C56" s="131">
        <f>'Basic inputs'!E65</f>
        <v>0</v>
      </c>
      <c r="D56" s="102"/>
      <c r="E56" s="157">
        <v>0</v>
      </c>
    </row>
    <row r="57" spans="1:5">
      <c r="A57" s="107"/>
      <c r="B57" s="170" t="s">
        <v>383</v>
      </c>
      <c r="C57" s="131">
        <f>'Basic inputs'!E66</f>
        <v>875</v>
      </c>
      <c r="D57" s="102"/>
      <c r="E57" s="157">
        <v>875</v>
      </c>
    </row>
    <row r="58" spans="1:5">
      <c r="A58" s="107"/>
      <c r="B58" s="170" t="s">
        <v>346</v>
      </c>
      <c r="C58" s="131">
        <f>'Basic inputs'!E67</f>
        <v>13</v>
      </c>
      <c r="D58" s="102"/>
      <c r="E58" s="157">
        <v>13</v>
      </c>
    </row>
    <row r="59" spans="1:5">
      <c r="A59" s="107"/>
      <c r="B59" s="170" t="s">
        <v>384</v>
      </c>
      <c r="C59" s="131">
        <f>'Basic inputs'!E68</f>
        <v>0</v>
      </c>
      <c r="D59" s="102"/>
      <c r="E59" s="157">
        <v>0</v>
      </c>
    </row>
    <row r="60" spans="1:5">
      <c r="A60" s="107"/>
      <c r="B60" s="170" t="s">
        <v>333</v>
      </c>
      <c r="C60" s="131">
        <f>'Basic inputs'!E69</f>
        <v>0</v>
      </c>
      <c r="D60" s="102"/>
      <c r="E60" s="157">
        <v>0</v>
      </c>
    </row>
    <row r="61" spans="1:5">
      <c r="A61" s="107"/>
      <c r="B61" s="170" t="s">
        <v>320</v>
      </c>
      <c r="C61" s="131">
        <f>'Basic inputs'!E70</f>
        <v>6000</v>
      </c>
      <c r="D61" s="102"/>
      <c r="E61" s="157">
        <v>600</v>
      </c>
    </row>
    <row r="62" spans="1:5">
      <c r="A62" s="107"/>
      <c r="B62" s="170" t="s">
        <v>321</v>
      </c>
      <c r="C62" s="131">
        <f>'Basic inputs'!E71</f>
        <v>60</v>
      </c>
      <c r="D62" s="102"/>
      <c r="E62" s="157">
        <v>0</v>
      </c>
    </row>
    <row r="63" spans="1:5">
      <c r="A63" s="107"/>
      <c r="B63" s="170" t="s">
        <v>20</v>
      </c>
      <c r="C63" s="131">
        <f>'Basic inputs'!E72</f>
        <v>100</v>
      </c>
      <c r="D63" s="102"/>
      <c r="E63" s="157">
        <v>0</v>
      </c>
    </row>
    <row r="64" spans="1:5">
      <c r="A64" s="107"/>
      <c r="B64" s="132"/>
      <c r="C64" s="126"/>
      <c r="D64" s="102"/>
      <c r="E64" s="163"/>
    </row>
    <row r="65" spans="1:5">
      <c r="A65" s="107"/>
      <c r="B65" s="41" t="s">
        <v>363</v>
      </c>
      <c r="C65" s="133" t="str">
        <f>'Basic inputs'!E75</f>
        <v>Public Transportation</v>
      </c>
      <c r="D65" s="125"/>
      <c r="E65" s="157" t="s">
        <v>344</v>
      </c>
    </row>
    <row r="66" spans="1:5">
      <c r="A66" s="107"/>
      <c r="B66" s="41" t="s">
        <v>317</v>
      </c>
      <c r="C66" s="133">
        <f>'Basic inputs'!E76</f>
        <v>163.80000000000001</v>
      </c>
      <c r="D66" s="125"/>
      <c r="E66" s="157">
        <v>50</v>
      </c>
    </row>
    <row r="67" spans="1:5">
      <c r="A67" s="107"/>
      <c r="B67" s="41" t="s">
        <v>345</v>
      </c>
      <c r="C67" s="133">
        <f>'Basic inputs'!E77</f>
        <v>0</v>
      </c>
      <c r="D67" s="125"/>
      <c r="E67" s="157">
        <v>50</v>
      </c>
    </row>
    <row r="68" spans="1:5">
      <c r="B68" s="41" t="s">
        <v>219</v>
      </c>
      <c r="C68" s="133">
        <f>'Basic inputs'!E78</f>
        <v>0</v>
      </c>
      <c r="D68" s="134"/>
      <c r="E68" s="157">
        <v>50</v>
      </c>
    </row>
  </sheetData>
  <mergeCells count="5">
    <mergeCell ref="B6:E6"/>
    <mergeCell ref="G6:J6"/>
    <mergeCell ref="B1:J1"/>
    <mergeCell ref="B3:B4"/>
    <mergeCell ref="E3:E4"/>
  </mergeCells>
  <dataValidations count="1">
    <dataValidation type="list" allowBlank="1" showInputMessage="1" showErrorMessage="1" sqref="E39">
      <formula1>"Yes, No"</formula1>
    </dataValidation>
  </dataValidations>
  <pageMargins left="0.7" right="0.7" top="0.75" bottom="0.75" header="0.3" footer="0.3"/>
  <pageSetup orientation="portrait" horizontalDpi="0" verticalDpi="0"/>
  <ignoredErrors>
    <ignoredError sqref="J13" formulaRange="1"/>
  </ignoredErrors>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'Calculations (INTERNAL)'!$J$95:$J$96</xm:f>
          </x14:formula1>
          <xm:sqref>E65</xm:sqref>
        </x14:dataValidation>
        <x14:dataValidation type="list" allowBlank="1" showInputMessage="1" showErrorMessage="1">
          <x14:formula1>
            <xm:f>'Calculations (INTERNAL)'!$F$96:$F$131</xm:f>
          </x14:formula1>
          <xm:sqref>F3 C3</xm:sqref>
        </x14:dataValidation>
        <x14:dataValidation type="list" allowBlank="1" showInputMessage="1" showErrorMessage="1">
          <x14:formula1>
            <xm:f>'Calculations (INTERNAL)'!$B$5:$B$172</xm:f>
          </x14:formula1>
          <xm:sqref>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P172"/>
  <sheetViews>
    <sheetView workbookViewId="0">
      <selection activeCell="H11" sqref="H11"/>
    </sheetView>
  </sheetViews>
  <sheetFormatPr defaultColWidth="14.28515625" defaultRowHeight="15.75" customHeight="1"/>
  <cols>
    <col min="1" max="1" width="2" style="33" customWidth="1"/>
    <col min="2" max="2" width="14.28515625" style="33"/>
    <col min="3" max="3" width="7.140625" style="33" customWidth="1"/>
    <col min="4" max="4" width="2" style="33" customWidth="1"/>
    <col min="5" max="5" width="13.28515625" style="16" customWidth="1"/>
    <col min="6" max="6" width="40.28515625" style="16" customWidth="1"/>
    <col min="7" max="7" width="14.28515625" style="16"/>
    <col min="8" max="8" width="36.7109375" style="16" customWidth="1"/>
    <col min="9" max="9" width="3.7109375" style="33" customWidth="1"/>
    <col min="10" max="10" width="18.140625" style="16" customWidth="1"/>
    <col min="11" max="11" width="14.28515625" style="16"/>
    <col min="12" max="12" width="8.85546875" style="16" customWidth="1"/>
    <col min="13" max="13" width="20.85546875" style="16" customWidth="1"/>
    <col min="14" max="14" width="14.28515625" style="16"/>
    <col min="15" max="15" width="16.28515625" style="16" bestFit="1" customWidth="1"/>
    <col min="16" max="16" width="17.28515625" style="16" customWidth="1"/>
    <col min="17" max="16384" width="14.28515625" style="16"/>
  </cols>
  <sheetData>
    <row r="1" spans="2:14" ht="15.75" customHeight="1">
      <c r="E1" s="218" t="s">
        <v>365</v>
      </c>
      <c r="F1" s="218"/>
      <c r="G1" s="218"/>
      <c r="H1" s="218"/>
    </row>
    <row r="3" spans="2:14" ht="20.100000000000001" customHeight="1">
      <c r="B3" s="202" t="s">
        <v>220</v>
      </c>
      <c r="C3" s="202"/>
      <c r="E3" s="7" t="s">
        <v>213</v>
      </c>
      <c r="F3" s="202" t="s">
        <v>230</v>
      </c>
      <c r="G3" s="202"/>
      <c r="H3" s="202"/>
      <c r="J3" s="219" t="s">
        <v>287</v>
      </c>
      <c r="K3" s="220"/>
    </row>
    <row r="4" spans="2:14" ht="15.75" customHeight="1">
      <c r="B4" s="7" t="s">
        <v>60</v>
      </c>
      <c r="C4" s="7" t="s">
        <v>61</v>
      </c>
      <c r="E4" s="7" t="s">
        <v>288</v>
      </c>
      <c r="F4" s="232" t="s">
        <v>61</v>
      </c>
      <c r="G4" s="233"/>
      <c r="H4" s="234"/>
      <c r="J4" s="87" t="s">
        <v>288</v>
      </c>
      <c r="K4" s="85" t="s">
        <v>289</v>
      </c>
      <c r="M4" s="16" t="s">
        <v>290</v>
      </c>
    </row>
    <row r="5" spans="2:14" ht="14.1" customHeight="1">
      <c r="B5" s="76" t="s">
        <v>40</v>
      </c>
      <c r="C5" s="76" t="s">
        <v>62</v>
      </c>
      <c r="E5" s="84"/>
      <c r="F5" s="89" t="s">
        <v>62</v>
      </c>
      <c r="G5" s="89" t="s">
        <v>177</v>
      </c>
      <c r="H5" s="89" t="s">
        <v>212</v>
      </c>
      <c r="J5" s="77">
        <v>1</v>
      </c>
      <c r="K5" s="86">
        <v>1005</v>
      </c>
      <c r="M5" s="20" t="s">
        <v>291</v>
      </c>
      <c r="N5" s="16" t="str">
        <f>IF('Basic inputs'!D14&gt;0,"Yes","No")</f>
        <v>Yes</v>
      </c>
    </row>
    <row r="6" spans="2:14" ht="15.75" customHeight="1">
      <c r="B6" s="76" t="s">
        <v>41</v>
      </c>
      <c r="C6" s="76" t="s">
        <v>62</v>
      </c>
      <c r="E6" s="88">
        <v>1</v>
      </c>
      <c r="F6" s="77">
        <v>443</v>
      </c>
      <c r="G6" s="77">
        <v>366</v>
      </c>
      <c r="H6" s="77">
        <v>366</v>
      </c>
      <c r="J6" s="77">
        <v>2</v>
      </c>
      <c r="K6" s="86">
        <v>1354</v>
      </c>
      <c r="M6" s="16" t="s">
        <v>292</v>
      </c>
      <c r="N6" s="16">
        <f>INDEX(J5:K12,MATCH('Basic inputs'!D17,'Calculations (INTERNAL)'!J5:J12),2)</f>
        <v>2399</v>
      </c>
    </row>
    <row r="7" spans="2:14" ht="15.75" customHeight="1">
      <c r="B7" s="76" t="s">
        <v>42</v>
      </c>
      <c r="C7" s="76" t="s">
        <v>62</v>
      </c>
      <c r="E7" s="88">
        <v>2</v>
      </c>
      <c r="F7" s="77">
        <v>563</v>
      </c>
      <c r="G7" s="77">
        <v>487</v>
      </c>
      <c r="H7" s="77">
        <v>487</v>
      </c>
      <c r="J7" s="77">
        <v>3</v>
      </c>
      <c r="K7" s="86">
        <v>1702</v>
      </c>
      <c r="M7" s="16" t="s">
        <v>293</v>
      </c>
      <c r="N7" s="16">
        <f>'Basic inputs'!D29</f>
        <v>500</v>
      </c>
    </row>
    <row r="8" spans="2:14" ht="15.75" customHeight="1">
      <c r="B8" s="76" t="s">
        <v>43</v>
      </c>
      <c r="C8" s="76" t="s">
        <v>62</v>
      </c>
      <c r="E8" s="88">
        <v>3</v>
      </c>
      <c r="F8" s="77">
        <v>698</v>
      </c>
      <c r="G8" s="77">
        <v>597</v>
      </c>
      <c r="H8" s="77">
        <v>589</v>
      </c>
      <c r="J8" s="77">
        <v>4</v>
      </c>
      <c r="K8" s="86">
        <v>2050</v>
      </c>
      <c r="M8" s="16" t="s">
        <v>296</v>
      </c>
      <c r="N8" s="16" t="str">
        <f>IF(N5="Yes",IF(N7&lt;N6,"Yes","No"),"N/A")</f>
        <v>Yes</v>
      </c>
    </row>
    <row r="9" spans="2:14" ht="15.75" customHeight="1">
      <c r="B9" s="76" t="s">
        <v>44</v>
      </c>
      <c r="C9" s="76" t="s">
        <v>62</v>
      </c>
      <c r="E9" s="88">
        <v>4</v>
      </c>
      <c r="F9" s="77">
        <v>815</v>
      </c>
      <c r="G9" s="77">
        <v>701</v>
      </c>
      <c r="H9" s="77">
        <v>684</v>
      </c>
      <c r="J9" s="77">
        <v>5</v>
      </c>
      <c r="K9" s="86">
        <v>2399</v>
      </c>
    </row>
    <row r="10" spans="2:14" ht="15.75" customHeight="1">
      <c r="B10" s="76" t="s">
        <v>45</v>
      </c>
      <c r="C10" s="76" t="s">
        <v>62</v>
      </c>
      <c r="E10" s="88">
        <v>5</v>
      </c>
      <c r="F10" s="77">
        <v>919</v>
      </c>
      <c r="G10" s="77">
        <v>803</v>
      </c>
      <c r="H10" s="77">
        <v>779</v>
      </c>
      <c r="J10" s="77">
        <v>6</v>
      </c>
      <c r="K10" s="86">
        <v>2747</v>
      </c>
      <c r="M10" s="16" t="s">
        <v>297</v>
      </c>
      <c r="N10" s="16">
        <f>'Basic inputs'!E52</f>
        <v>0</v>
      </c>
    </row>
    <row r="11" spans="2:14" ht="15.75" customHeight="1">
      <c r="B11" s="76" t="s">
        <v>46</v>
      </c>
      <c r="C11" s="76" t="s">
        <v>62</v>
      </c>
      <c r="E11" s="88">
        <v>6</v>
      </c>
      <c r="F11" s="77">
        <v>1028</v>
      </c>
      <c r="G11" s="77">
        <v>908</v>
      </c>
      <c r="H11" s="77">
        <v>885</v>
      </c>
      <c r="J11" s="77">
        <v>7</v>
      </c>
      <c r="K11" s="86">
        <v>3095</v>
      </c>
      <c r="M11" s="16" t="s">
        <v>260</v>
      </c>
      <c r="N11" s="16" t="str">
        <f>IF(N10&lt;K15,"Yes","No")</f>
        <v>Yes</v>
      </c>
    </row>
    <row r="12" spans="2:14" ht="15.75" customHeight="1">
      <c r="B12" s="76" t="s">
        <v>47</v>
      </c>
      <c r="C12" s="76" t="s">
        <v>62</v>
      </c>
      <c r="E12" s="88">
        <v>7</v>
      </c>
      <c r="F12" s="77">
        <v>1143</v>
      </c>
      <c r="G12" s="77">
        <v>1026</v>
      </c>
      <c r="H12" s="77">
        <v>994</v>
      </c>
      <c r="J12" s="77">
        <v>8</v>
      </c>
      <c r="K12" s="86">
        <v>3444</v>
      </c>
    </row>
    <row r="13" spans="2:14" ht="15.75" customHeight="1">
      <c r="B13" s="76" t="s">
        <v>48</v>
      </c>
      <c r="C13" s="76" t="s">
        <v>62</v>
      </c>
      <c r="E13" s="88">
        <v>8</v>
      </c>
      <c r="F13" s="77">
        <v>1257</v>
      </c>
      <c r="G13" s="77">
        <v>1134</v>
      </c>
      <c r="H13" s="77">
        <v>1100</v>
      </c>
      <c r="M13" s="16" t="s">
        <v>298</v>
      </c>
      <c r="N13" s="16">
        <f>'Basic inputs'!E47</f>
        <v>0</v>
      </c>
    </row>
    <row r="14" spans="2:14" ht="15.95" customHeight="1">
      <c r="B14" s="76" t="s">
        <v>49</v>
      </c>
      <c r="C14" s="76" t="s">
        <v>62</v>
      </c>
      <c r="E14" s="208" t="s">
        <v>334</v>
      </c>
      <c r="F14" s="208"/>
      <c r="G14" s="208"/>
      <c r="H14" s="208"/>
      <c r="J14" s="221" t="s">
        <v>294</v>
      </c>
      <c r="K14" s="222"/>
      <c r="M14" s="16" t="s">
        <v>299</v>
      </c>
      <c r="N14" s="16" t="str">
        <f>IF(N13&lt;K16,"Yes","No")</f>
        <v>Yes</v>
      </c>
    </row>
    <row r="15" spans="2:14" ht="15.75" customHeight="1">
      <c r="B15" s="76" t="s">
        <v>50</v>
      </c>
      <c r="C15" s="76" t="s">
        <v>62</v>
      </c>
      <c r="E15" s="33"/>
      <c r="F15" s="33"/>
      <c r="G15" s="33"/>
      <c r="H15" s="33"/>
      <c r="J15" s="90" t="s">
        <v>253</v>
      </c>
      <c r="K15" s="91">
        <v>3000</v>
      </c>
    </row>
    <row r="16" spans="2:14" ht="23.1" customHeight="1">
      <c r="B16" s="76" t="s">
        <v>51</v>
      </c>
      <c r="C16" s="76" t="s">
        <v>62</v>
      </c>
      <c r="E16" s="92" t="s">
        <v>215</v>
      </c>
      <c r="F16" s="231" t="s">
        <v>218</v>
      </c>
      <c r="G16" s="231"/>
      <c r="H16" s="231"/>
      <c r="J16" s="90" t="s">
        <v>295</v>
      </c>
      <c r="K16" s="90">
        <v>9500</v>
      </c>
      <c r="M16" s="16" t="s">
        <v>300</v>
      </c>
      <c r="N16" s="16" t="str">
        <f>IF(N14="Yes", IF(N11="Yes", IF(N8="Yes","Yes","No")))</f>
        <v>Yes</v>
      </c>
    </row>
    <row r="17" spans="2:16" ht="33" customHeight="1">
      <c r="B17" s="76" t="s">
        <v>52</v>
      </c>
      <c r="C17" s="76" t="s">
        <v>62</v>
      </c>
      <c r="E17" s="230" t="s">
        <v>217</v>
      </c>
      <c r="F17" s="230"/>
      <c r="G17" s="230"/>
      <c r="H17" s="230"/>
      <c r="M17" s="16" t="s">
        <v>301</v>
      </c>
      <c r="N17" s="16">
        <f>INDEX($E$5:$H$13,(MATCH('Basic inputs'!$D$17,$E$5:$E$13)),MATCH('Basic inputs'!$E$34,$E$5:$H$5))</f>
        <v>803</v>
      </c>
    </row>
    <row r="18" spans="2:16" ht="99.95" customHeight="1">
      <c r="B18" s="76" t="s">
        <v>53</v>
      </c>
      <c r="C18" s="76" t="s">
        <v>62</v>
      </c>
      <c r="E18" s="214" t="s">
        <v>391</v>
      </c>
      <c r="F18" s="214"/>
      <c r="G18" s="214"/>
      <c r="H18" s="214"/>
    </row>
    <row r="19" spans="2:16" ht="15.75" customHeight="1">
      <c r="B19" s="76" t="s">
        <v>54</v>
      </c>
      <c r="C19" s="76" t="s">
        <v>62</v>
      </c>
      <c r="E19" s="209" t="s">
        <v>335</v>
      </c>
      <c r="F19" s="209"/>
      <c r="G19" s="209"/>
      <c r="H19" s="209"/>
    </row>
    <row r="20" spans="2:16" ht="15.75" customHeight="1">
      <c r="B20" s="76" t="s">
        <v>55</v>
      </c>
      <c r="C20" s="76" t="s">
        <v>62</v>
      </c>
      <c r="E20" s="9"/>
      <c r="F20" s="78"/>
    </row>
    <row r="21" spans="2:16" ht="15.75" customHeight="1">
      <c r="B21" s="76" t="s">
        <v>56</v>
      </c>
      <c r="C21" s="76" t="s">
        <v>62</v>
      </c>
      <c r="E21" s="78"/>
      <c r="F21" s="78"/>
    </row>
    <row r="22" spans="2:16" ht="20.100000000000001" customHeight="1">
      <c r="B22" s="76" t="s">
        <v>57</v>
      </c>
      <c r="C22" s="76" t="s">
        <v>62</v>
      </c>
      <c r="E22" s="205" t="s">
        <v>222</v>
      </c>
      <c r="F22" s="206"/>
      <c r="G22" s="206"/>
      <c r="H22" s="207"/>
      <c r="J22" s="210" t="s">
        <v>21</v>
      </c>
      <c r="K22" s="229"/>
    </row>
    <row r="23" spans="2:16" ht="15.75" customHeight="1">
      <c r="B23" s="76" t="s">
        <v>58</v>
      </c>
      <c r="C23" s="76" t="s">
        <v>62</v>
      </c>
      <c r="E23" s="11" t="s">
        <v>10</v>
      </c>
      <c r="F23" s="203" t="s">
        <v>368</v>
      </c>
      <c r="G23" s="203"/>
      <c r="H23" s="203"/>
      <c r="J23" s="79" t="s">
        <v>225</v>
      </c>
      <c r="K23" s="79" t="s">
        <v>22</v>
      </c>
    </row>
    <row r="24" spans="2:16" ht="30.95" customHeight="1">
      <c r="B24" s="76" t="s">
        <v>59</v>
      </c>
      <c r="C24" s="76" t="s">
        <v>62</v>
      </c>
      <c r="E24" s="11" t="s">
        <v>223</v>
      </c>
      <c r="F24" s="204" t="s">
        <v>224</v>
      </c>
      <c r="G24" s="204"/>
      <c r="H24" s="204"/>
      <c r="J24" s="46">
        <v>1</v>
      </c>
      <c r="K24" s="46">
        <v>950</v>
      </c>
    </row>
    <row r="25" spans="2:16" ht="33.950000000000003" customHeight="1">
      <c r="B25" s="76" t="s">
        <v>63</v>
      </c>
      <c r="C25" s="76" t="s">
        <v>177</v>
      </c>
      <c r="E25" s="11" t="s">
        <v>226</v>
      </c>
      <c r="F25" s="204" t="s">
        <v>227</v>
      </c>
      <c r="G25" s="204"/>
      <c r="H25" s="204"/>
      <c r="J25" s="46">
        <v>2</v>
      </c>
      <c r="K25" s="46">
        <v>1100</v>
      </c>
    </row>
    <row r="26" spans="2:16" ht="15.75" customHeight="1">
      <c r="B26" s="76" t="s">
        <v>64</v>
      </c>
      <c r="C26" s="76" t="s">
        <v>177</v>
      </c>
      <c r="E26" s="11" t="s">
        <v>8</v>
      </c>
      <c r="F26" s="204" t="s">
        <v>228</v>
      </c>
      <c r="G26" s="204"/>
      <c r="H26" s="204"/>
      <c r="J26" s="46">
        <v>3</v>
      </c>
      <c r="K26" s="46">
        <v>1300</v>
      </c>
    </row>
    <row r="27" spans="2:16" ht="26.1" customHeight="1">
      <c r="B27" s="76" t="s">
        <v>65</v>
      </c>
      <c r="C27" s="76" t="s">
        <v>177</v>
      </c>
      <c r="E27" s="208" t="s">
        <v>390</v>
      </c>
      <c r="F27" s="208"/>
      <c r="G27" s="208"/>
      <c r="H27" s="208"/>
      <c r="J27" s="46">
        <v>4</v>
      </c>
      <c r="K27" s="46">
        <v>1500</v>
      </c>
    </row>
    <row r="28" spans="2:16" ht="15.75" customHeight="1">
      <c r="B28" s="76" t="s">
        <v>66</v>
      </c>
      <c r="C28" s="76" t="s">
        <v>177</v>
      </c>
    </row>
    <row r="29" spans="2:16" ht="15.75" customHeight="1">
      <c r="B29" s="76" t="s">
        <v>67</v>
      </c>
      <c r="C29" s="76" t="s">
        <v>177</v>
      </c>
    </row>
    <row r="30" spans="2:16" ht="15.75" customHeight="1">
      <c r="B30" s="76" t="s">
        <v>68</v>
      </c>
      <c r="C30" s="76" t="s">
        <v>177</v>
      </c>
    </row>
    <row r="31" spans="2:16" ht="20.100000000000001" customHeight="1">
      <c r="B31" s="76" t="s">
        <v>69</v>
      </c>
      <c r="C31" s="76" t="s">
        <v>177</v>
      </c>
      <c r="E31" s="205" t="s">
        <v>233</v>
      </c>
      <c r="F31" s="206" t="s">
        <v>23</v>
      </c>
      <c r="G31" s="206" t="s">
        <v>24</v>
      </c>
      <c r="H31" s="207"/>
      <c r="J31" s="210" t="s">
        <v>25</v>
      </c>
      <c r="K31" s="210"/>
      <c r="L31" s="210"/>
      <c r="O31" s="80" t="s">
        <v>237</v>
      </c>
      <c r="P31" s="80" t="s">
        <v>238</v>
      </c>
    </row>
    <row r="32" spans="2:16" ht="56.1" customHeight="1">
      <c r="B32" s="76" t="s">
        <v>70</v>
      </c>
      <c r="C32" s="76" t="s">
        <v>177</v>
      </c>
      <c r="E32" s="211" t="s">
        <v>234</v>
      </c>
      <c r="F32" s="212"/>
      <c r="G32" s="212"/>
      <c r="H32" s="213"/>
      <c r="J32" s="80" t="s">
        <v>26</v>
      </c>
      <c r="K32" s="81" t="s">
        <v>27</v>
      </c>
      <c r="L32" s="81" t="s">
        <v>236</v>
      </c>
      <c r="O32" s="46" t="s">
        <v>28</v>
      </c>
      <c r="P32" s="46">
        <v>1</v>
      </c>
    </row>
    <row r="33" spans="2:16" ht="81.95" customHeight="1">
      <c r="B33" s="76" t="s">
        <v>71</v>
      </c>
      <c r="C33" s="76" t="s">
        <v>177</v>
      </c>
      <c r="E33" s="214" t="s">
        <v>392</v>
      </c>
      <c r="F33" s="214"/>
      <c r="G33" s="214"/>
      <c r="H33" s="214"/>
      <c r="J33" s="46">
        <v>1</v>
      </c>
      <c r="K33" s="46">
        <v>17820</v>
      </c>
      <c r="L33" s="46">
        <f>K33/12</f>
        <v>1485</v>
      </c>
      <c r="O33" s="46" t="s">
        <v>29</v>
      </c>
      <c r="P33" s="46">
        <v>1</v>
      </c>
    </row>
    <row r="34" spans="2:16" ht="15.75" customHeight="1">
      <c r="B34" s="76" t="s">
        <v>72</v>
      </c>
      <c r="C34" s="76" t="s">
        <v>177</v>
      </c>
      <c r="E34" s="209" t="s">
        <v>235</v>
      </c>
      <c r="F34" s="209"/>
      <c r="G34" s="209"/>
      <c r="H34" s="209"/>
      <c r="J34" s="46">
        <v>2</v>
      </c>
      <c r="K34" s="46">
        <v>24030</v>
      </c>
      <c r="L34" s="46">
        <f t="shared" ref="L34:L40" si="0">K34/12</f>
        <v>2002.5</v>
      </c>
      <c r="O34" s="46" t="s">
        <v>30</v>
      </c>
      <c r="P34" s="46">
        <v>1</v>
      </c>
    </row>
    <row r="35" spans="2:16" ht="15.75" customHeight="1">
      <c r="B35" s="76" t="s">
        <v>73</v>
      </c>
      <c r="C35" s="76" t="s">
        <v>177</v>
      </c>
      <c r="J35" s="46">
        <v>3</v>
      </c>
      <c r="K35" s="46">
        <v>30240</v>
      </c>
      <c r="L35" s="46">
        <f t="shared" si="0"/>
        <v>2520</v>
      </c>
      <c r="O35" s="46" t="s">
        <v>31</v>
      </c>
      <c r="P35" s="46">
        <v>1</v>
      </c>
    </row>
    <row r="36" spans="2:16" ht="15.75" customHeight="1">
      <c r="B36" s="76" t="s">
        <v>74</v>
      </c>
      <c r="C36" s="76" t="s">
        <v>177</v>
      </c>
      <c r="J36" s="46">
        <v>4</v>
      </c>
      <c r="K36" s="46">
        <v>36450</v>
      </c>
      <c r="L36" s="46">
        <f t="shared" si="0"/>
        <v>3037.5</v>
      </c>
      <c r="O36" s="46" t="s">
        <v>32</v>
      </c>
      <c r="P36" s="46">
        <v>0</v>
      </c>
    </row>
    <row r="37" spans="2:16" ht="15.75" customHeight="1">
      <c r="B37" s="76" t="s">
        <v>75</v>
      </c>
      <c r="C37" s="76" t="s">
        <v>177</v>
      </c>
      <c r="J37" s="46">
        <v>5</v>
      </c>
      <c r="K37" s="46">
        <v>42660</v>
      </c>
      <c r="L37" s="46">
        <f t="shared" si="0"/>
        <v>3555</v>
      </c>
      <c r="O37" s="46" t="s">
        <v>33</v>
      </c>
      <c r="P37" s="46">
        <v>0</v>
      </c>
    </row>
    <row r="38" spans="2:16" ht="15.75" customHeight="1">
      <c r="B38" s="76" t="s">
        <v>76</v>
      </c>
      <c r="C38" s="76" t="s">
        <v>177</v>
      </c>
      <c r="J38" s="46">
        <v>6</v>
      </c>
      <c r="K38" s="46">
        <v>48870</v>
      </c>
      <c r="L38" s="46">
        <f t="shared" si="0"/>
        <v>4072.5</v>
      </c>
      <c r="O38" s="46" t="s">
        <v>34</v>
      </c>
      <c r="P38" s="46">
        <v>0</v>
      </c>
    </row>
    <row r="39" spans="2:16" ht="15.75" customHeight="1">
      <c r="B39" s="76" t="s">
        <v>77</v>
      </c>
      <c r="C39" s="76" t="s">
        <v>177</v>
      </c>
      <c r="J39" s="46">
        <v>7</v>
      </c>
      <c r="K39" s="46">
        <v>55095</v>
      </c>
      <c r="L39" s="46">
        <f t="shared" si="0"/>
        <v>4591.25</v>
      </c>
      <c r="O39" s="46" t="s">
        <v>35</v>
      </c>
      <c r="P39" s="46">
        <v>0</v>
      </c>
    </row>
    <row r="40" spans="2:16" ht="15.75" customHeight="1">
      <c r="B40" s="76" t="s">
        <v>78</v>
      </c>
      <c r="C40" s="76" t="s">
        <v>177</v>
      </c>
      <c r="G40" s="13"/>
      <c r="J40" s="46">
        <v>8</v>
      </c>
      <c r="K40" s="46">
        <v>61335</v>
      </c>
      <c r="L40" s="46">
        <f t="shared" si="0"/>
        <v>5111.25</v>
      </c>
      <c r="O40" s="46" t="s">
        <v>36</v>
      </c>
      <c r="P40" s="46">
        <v>0</v>
      </c>
    </row>
    <row r="41" spans="2:16" ht="15.75" customHeight="1">
      <c r="B41" s="76" t="s">
        <v>79</v>
      </c>
      <c r="C41" s="76" t="s">
        <v>177</v>
      </c>
      <c r="G41" s="13"/>
      <c r="O41" s="46" t="s">
        <v>37</v>
      </c>
      <c r="P41" s="46">
        <v>0</v>
      </c>
    </row>
    <row r="42" spans="2:16" ht="15.75" customHeight="1">
      <c r="B42" s="76" t="s">
        <v>80</v>
      </c>
      <c r="C42" s="76" t="s">
        <v>177</v>
      </c>
      <c r="G42" s="13"/>
      <c r="O42" s="46" t="s">
        <v>38</v>
      </c>
      <c r="P42" s="46">
        <v>1</v>
      </c>
    </row>
    <row r="43" spans="2:16" ht="15.75" customHeight="1">
      <c r="B43" s="76" t="s">
        <v>81</v>
      </c>
      <c r="C43" s="76" t="s">
        <v>177</v>
      </c>
      <c r="O43" s="46" t="s">
        <v>39</v>
      </c>
      <c r="P43" s="46">
        <v>1</v>
      </c>
    </row>
    <row r="44" spans="2:16" ht="15.75" customHeight="1">
      <c r="B44" s="76" t="s">
        <v>82</v>
      </c>
      <c r="C44" s="76" t="s">
        <v>177</v>
      </c>
      <c r="H44" s="82"/>
    </row>
    <row r="45" spans="2:16" ht="15.75" customHeight="1">
      <c r="B45" s="76" t="s">
        <v>83</v>
      </c>
      <c r="C45" s="76" t="s">
        <v>177</v>
      </c>
      <c r="H45" s="82"/>
    </row>
    <row r="46" spans="2:16" ht="15.75" customHeight="1">
      <c r="B46" s="76" t="s">
        <v>84</v>
      </c>
      <c r="C46" s="76" t="s">
        <v>177</v>
      </c>
      <c r="H46" s="8"/>
    </row>
    <row r="47" spans="2:16" ht="15.75" customHeight="1">
      <c r="B47" s="76" t="s">
        <v>85</v>
      </c>
      <c r="C47" s="76" t="s">
        <v>177</v>
      </c>
      <c r="E47" s="223" t="s">
        <v>241</v>
      </c>
      <c r="F47" s="224" t="s">
        <v>23</v>
      </c>
      <c r="G47" s="224" t="s">
        <v>24</v>
      </c>
      <c r="H47" s="225"/>
      <c r="J47" s="215" t="s">
        <v>279</v>
      </c>
      <c r="K47" s="216"/>
      <c r="L47" s="216"/>
      <c r="M47" s="216"/>
      <c r="N47" s="217"/>
      <c r="O47" s="17" t="s">
        <v>254</v>
      </c>
      <c r="P47" s="17">
        <v>3500</v>
      </c>
    </row>
    <row r="48" spans="2:16" ht="126.95" customHeight="1">
      <c r="B48" s="76" t="s">
        <v>86</v>
      </c>
      <c r="C48" s="76" t="s">
        <v>177</v>
      </c>
      <c r="E48" s="226" t="s">
        <v>242</v>
      </c>
      <c r="F48" s="227"/>
      <c r="G48" s="227"/>
      <c r="H48" s="228"/>
      <c r="J48" s="173" t="s">
        <v>26</v>
      </c>
      <c r="K48" s="174" t="s">
        <v>243</v>
      </c>
      <c r="L48" s="174" t="s">
        <v>244</v>
      </c>
      <c r="M48" s="174" t="s">
        <v>262</v>
      </c>
      <c r="N48" s="175" t="s">
        <v>278</v>
      </c>
      <c r="O48" s="176" t="s">
        <v>272</v>
      </c>
      <c r="P48" s="176">
        <v>535</v>
      </c>
    </row>
    <row r="49" spans="2:15" ht="12.75">
      <c r="B49" s="76" t="s">
        <v>87</v>
      </c>
      <c r="C49" s="76" t="s">
        <v>177</v>
      </c>
      <c r="E49" s="214"/>
      <c r="F49" s="214"/>
      <c r="G49" s="214"/>
      <c r="H49" s="214"/>
      <c r="J49" s="14">
        <v>1</v>
      </c>
      <c r="K49" s="15">
        <v>1860</v>
      </c>
      <c r="L49" s="15">
        <v>1005</v>
      </c>
      <c r="M49" s="15">
        <v>160</v>
      </c>
      <c r="N49" s="14" t="s">
        <v>280</v>
      </c>
      <c r="O49" s="14"/>
    </row>
    <row r="50" spans="2:15" ht="25.5" customHeight="1">
      <c r="B50" s="76" t="s">
        <v>88</v>
      </c>
      <c r="C50" s="76" t="s">
        <v>177</v>
      </c>
      <c r="E50" s="208" t="s">
        <v>264</v>
      </c>
      <c r="F50" s="209"/>
      <c r="G50" s="209"/>
      <c r="H50" s="209"/>
      <c r="J50" s="14">
        <v>2</v>
      </c>
      <c r="K50" s="15">
        <v>2504</v>
      </c>
      <c r="L50" s="15">
        <v>1354</v>
      </c>
      <c r="M50" s="15">
        <v>160</v>
      </c>
      <c r="N50" s="14" t="s">
        <v>281</v>
      </c>
      <c r="O50" s="14"/>
    </row>
    <row r="51" spans="2:15" ht="15.75" customHeight="1">
      <c r="B51" s="76" t="s">
        <v>89</v>
      </c>
      <c r="C51" s="76" t="s">
        <v>177</v>
      </c>
      <c r="J51" s="14">
        <v>3</v>
      </c>
      <c r="K51" s="15">
        <f t="shared" ref="K51:K57" si="1">L51*1.85</f>
        <v>3148.7000000000003</v>
      </c>
      <c r="L51" s="15">
        <v>1702</v>
      </c>
      <c r="M51" s="15">
        <v>160</v>
      </c>
      <c r="N51" s="14" t="s">
        <v>282</v>
      </c>
      <c r="O51" s="14"/>
    </row>
    <row r="52" spans="2:15" ht="15.75" customHeight="1">
      <c r="B52" s="76" t="s">
        <v>90</v>
      </c>
      <c r="C52" s="76" t="s">
        <v>177</v>
      </c>
      <c r="F52" s="16" t="s">
        <v>246</v>
      </c>
      <c r="G52" s="16" t="s">
        <v>342</v>
      </c>
      <c r="H52" s="82" t="s">
        <v>343</v>
      </c>
      <c r="J52" s="14">
        <v>4</v>
      </c>
      <c r="K52" s="15">
        <f t="shared" si="1"/>
        <v>3792.5</v>
      </c>
      <c r="L52" s="15">
        <v>2050</v>
      </c>
      <c r="M52" s="15">
        <v>170</v>
      </c>
      <c r="N52" s="14" t="s">
        <v>283</v>
      </c>
      <c r="O52" s="14"/>
    </row>
    <row r="53" spans="2:15" ht="15.75" customHeight="1">
      <c r="B53" s="76" t="s">
        <v>91</v>
      </c>
      <c r="C53" s="76" t="s">
        <v>177</v>
      </c>
      <c r="F53" s="16" t="s">
        <v>247</v>
      </c>
      <c r="G53" s="16" t="str">
        <f>IF('Basic inputs'!D22&gt;0,"Yes",IF('Basic inputs'!D23&gt;0,"Yes","No"))</f>
        <v>Yes</v>
      </c>
      <c r="H53" s="16" t="str">
        <f>IF('Monthly changes'!E17&gt;0,"Yes",IF('Monthly changes'!E18&gt;0,"Yes","No"))</f>
        <v>Yes</v>
      </c>
      <c r="J53" s="14">
        <v>5</v>
      </c>
      <c r="K53" s="15">
        <f t="shared" si="1"/>
        <v>4438.1500000000005</v>
      </c>
      <c r="L53" s="15">
        <v>2399</v>
      </c>
      <c r="M53" s="15">
        <v>170</v>
      </c>
      <c r="N53" s="14" t="s">
        <v>284</v>
      </c>
      <c r="O53" s="14"/>
    </row>
    <row r="54" spans="2:15" ht="15.75" customHeight="1">
      <c r="B54" s="76" t="s">
        <v>92</v>
      </c>
      <c r="C54" s="76" t="s">
        <v>177</v>
      </c>
      <c r="F54" s="16" t="s">
        <v>250</v>
      </c>
      <c r="G54" s="16" t="str">
        <f>IF(G53="Yes", "No","Yes")</f>
        <v>No</v>
      </c>
      <c r="H54" s="16" t="str">
        <f>IF(H53="Yes", "No","Yes")</f>
        <v>No</v>
      </c>
      <c r="J54" s="14">
        <v>6</v>
      </c>
      <c r="K54" s="15">
        <f t="shared" si="1"/>
        <v>5081.95</v>
      </c>
      <c r="L54" s="15">
        <v>2747</v>
      </c>
      <c r="M54" s="15">
        <v>170</v>
      </c>
      <c r="N54" s="14" t="s">
        <v>285</v>
      </c>
      <c r="O54" s="14"/>
    </row>
    <row r="55" spans="2:15" ht="15.75" customHeight="1">
      <c r="B55" s="76" t="s">
        <v>93</v>
      </c>
      <c r="C55" s="76" t="s">
        <v>177</v>
      </c>
      <c r="F55" s="16" t="s">
        <v>248</v>
      </c>
      <c r="G55" s="16">
        <f>'Basic inputs'!D29</f>
        <v>500</v>
      </c>
      <c r="H55" s="16">
        <f>'Monthly changes'!E23</f>
        <v>1200</v>
      </c>
      <c r="J55" s="14">
        <v>7</v>
      </c>
      <c r="K55" s="15">
        <f t="shared" si="1"/>
        <v>5725.75</v>
      </c>
      <c r="L55" s="15">
        <v>3095</v>
      </c>
      <c r="M55" s="15">
        <v>170</v>
      </c>
      <c r="N55" s="15">
        <v>1009</v>
      </c>
      <c r="O55" s="15"/>
    </row>
    <row r="56" spans="2:15" ht="15.75" customHeight="1">
      <c r="B56" s="76" t="s">
        <v>94</v>
      </c>
      <c r="C56" s="76" t="s">
        <v>177</v>
      </c>
      <c r="F56" s="16" t="s">
        <v>249</v>
      </c>
      <c r="G56" s="16">
        <f>INDEX(J49:K56,MATCH('Basic inputs'!D17,J49:J56),2)</f>
        <v>4438.1500000000005</v>
      </c>
      <c r="H56" s="16">
        <f>INDEX(J49:K56,MATCH('Monthly changes'!E13,J49:J56),2)</f>
        <v>4438.1500000000005</v>
      </c>
      <c r="J56" s="14">
        <v>8</v>
      </c>
      <c r="K56" s="15">
        <f t="shared" si="1"/>
        <v>6371.4000000000005</v>
      </c>
      <c r="L56" s="15">
        <v>3444</v>
      </c>
      <c r="M56" s="15">
        <v>170</v>
      </c>
      <c r="N56" s="15">
        <v>1153</v>
      </c>
      <c r="O56" s="15"/>
    </row>
    <row r="57" spans="2:15" ht="20.25" customHeight="1">
      <c r="B57" s="76" t="s">
        <v>95</v>
      </c>
      <c r="C57" s="76" t="s">
        <v>177</v>
      </c>
      <c r="F57" s="16" t="s">
        <v>251</v>
      </c>
      <c r="G57" s="16" t="str">
        <f>IF(G54="No","N/A",IF(G55&lt;G56,"Yes","No"))</f>
        <v>N/A</v>
      </c>
      <c r="H57" s="16" t="str">
        <f>IF(H54="No","N/A",IF(H55&lt;H56,"Yes","No"))</f>
        <v>N/A</v>
      </c>
      <c r="J57" s="14" t="s">
        <v>245</v>
      </c>
      <c r="K57" s="15">
        <f t="shared" si="1"/>
        <v>645.65</v>
      </c>
      <c r="L57" s="15">
        <v>349</v>
      </c>
      <c r="M57" s="15">
        <v>170</v>
      </c>
      <c r="N57" s="15">
        <v>144</v>
      </c>
      <c r="O57" s="15"/>
    </row>
    <row r="58" spans="2:15" ht="15.75" customHeight="1">
      <c r="B58" s="76" t="s">
        <v>96</v>
      </c>
      <c r="C58" s="76" t="s">
        <v>177</v>
      </c>
      <c r="F58" s="16" t="s">
        <v>252</v>
      </c>
      <c r="G58" s="16" t="str">
        <f>IF(G57="N/A",IF(G55&gt;G56,"Yes","No"),"N/A")</f>
        <v>No</v>
      </c>
      <c r="H58" s="16" t="str">
        <f>IF(H57="N/A",IF(H55&gt;H56,"Yes","No"),"N/A")</f>
        <v>No</v>
      </c>
      <c r="K58" s="83"/>
    </row>
    <row r="59" spans="2:15" ht="15.75" customHeight="1">
      <c r="B59" s="76" t="s">
        <v>97</v>
      </c>
      <c r="C59" s="76" t="s">
        <v>177</v>
      </c>
      <c r="E59" s="1"/>
      <c r="F59" s="16" t="s">
        <v>253</v>
      </c>
      <c r="G59" s="16">
        <f>'Basic inputs'!E52</f>
        <v>0</v>
      </c>
      <c r="H59" s="16">
        <f>'Monthly changes'!E45</f>
        <v>600</v>
      </c>
    </row>
    <row r="60" spans="2:15" ht="15.75" customHeight="1">
      <c r="B60" s="76" t="s">
        <v>98</v>
      </c>
      <c r="C60" s="76" t="s">
        <v>177</v>
      </c>
      <c r="F60" s="16" t="s">
        <v>260</v>
      </c>
      <c r="G60" s="16" t="str">
        <f>IF(G58="No","N/A",IF(G59&lt;P47,"Yes","No"))</f>
        <v>N/A</v>
      </c>
      <c r="H60" s="16" t="str">
        <f>IF(H58="No","N/A",IF(H59&lt;Q47,"Yes","No"))</f>
        <v>N/A</v>
      </c>
    </row>
    <row r="61" spans="2:15" ht="15.75" customHeight="1">
      <c r="B61" s="76" t="s">
        <v>99</v>
      </c>
      <c r="C61" s="76" t="s">
        <v>177</v>
      </c>
      <c r="F61" s="16" t="s">
        <v>275</v>
      </c>
      <c r="G61" s="16" t="str">
        <f>IF(G57="No","No",IF(G60="No","No","Yes"))</f>
        <v>Yes</v>
      </c>
      <c r="H61" s="16" t="str">
        <f>IF(H57="No","No",IF(H60="No","No","Yes"))</f>
        <v>Yes</v>
      </c>
    </row>
    <row r="62" spans="2:15" ht="15.75" customHeight="1">
      <c r="B62" s="76" t="s">
        <v>100</v>
      </c>
      <c r="C62" s="76" t="s">
        <v>177</v>
      </c>
      <c r="F62" s="16" t="s">
        <v>261</v>
      </c>
      <c r="G62" s="16">
        <f>G55*0.8</f>
        <v>400</v>
      </c>
      <c r="H62" s="16">
        <f>H55*0.8</f>
        <v>960</v>
      </c>
    </row>
    <row r="63" spans="2:15" ht="15.75" customHeight="1">
      <c r="B63" s="76" t="s">
        <v>101</v>
      </c>
      <c r="C63" s="76" t="s">
        <v>177</v>
      </c>
      <c r="F63" s="16" t="s">
        <v>262</v>
      </c>
      <c r="G63" s="16">
        <f>INDEX(J49:M56,MATCH('Basic inputs'!D17,J49:J56),4)</f>
        <v>170</v>
      </c>
      <c r="H63" s="16">
        <f>INDEX(J49:M56,MATCH('Monthly changes'!E13,J49:J56),4)</f>
        <v>170</v>
      </c>
    </row>
    <row r="64" spans="2:15" ht="15.75" customHeight="1">
      <c r="B64" s="76" t="s">
        <v>102</v>
      </c>
      <c r="C64" s="76" t="s">
        <v>177</v>
      </c>
      <c r="F64" s="16" t="s">
        <v>263</v>
      </c>
      <c r="G64" s="16">
        <f>G62-G63</f>
        <v>230</v>
      </c>
      <c r="H64" s="16">
        <f>H62-H63</f>
        <v>790</v>
      </c>
    </row>
    <row r="65" spans="2:13" ht="15.75" customHeight="1">
      <c r="B65" s="76" t="s">
        <v>103</v>
      </c>
      <c r="C65" s="76" t="s">
        <v>177</v>
      </c>
      <c r="F65" s="16" t="s">
        <v>265</v>
      </c>
      <c r="G65" s="16">
        <f>'Basic inputs'!E69</f>
        <v>0</v>
      </c>
      <c r="H65" s="16">
        <f>'Monthly changes'!E60</f>
        <v>0</v>
      </c>
    </row>
    <row r="66" spans="2:13" ht="15.75" customHeight="1">
      <c r="B66" s="76" t="s">
        <v>104</v>
      </c>
      <c r="C66" s="76" t="s">
        <v>177</v>
      </c>
      <c r="F66" s="16" t="s">
        <v>266</v>
      </c>
      <c r="G66" s="16">
        <f>G64-G65</f>
        <v>230</v>
      </c>
      <c r="H66" s="16">
        <f>H64-H65</f>
        <v>790</v>
      </c>
    </row>
    <row r="67" spans="2:13" ht="15.75" customHeight="1">
      <c r="B67" s="76" t="s">
        <v>105</v>
      </c>
      <c r="C67" s="76" t="s">
        <v>177</v>
      </c>
      <c r="F67" s="16" t="s">
        <v>267</v>
      </c>
      <c r="G67" s="16">
        <f>'Basic inputs'!E65</f>
        <v>0</v>
      </c>
      <c r="H67" s="16">
        <f>'Monthly changes'!E56</f>
        <v>0</v>
      </c>
    </row>
    <row r="68" spans="2:13" ht="15.75" customHeight="1">
      <c r="B68" s="76" t="s">
        <v>106</v>
      </c>
      <c r="C68" s="76" t="s">
        <v>177</v>
      </c>
      <c r="F68" s="16" t="s">
        <v>268</v>
      </c>
      <c r="G68" s="16">
        <f>G66-G67</f>
        <v>230</v>
      </c>
      <c r="H68" s="16">
        <f>H66-H67</f>
        <v>790</v>
      </c>
    </row>
    <row r="69" spans="2:13" ht="15.75" customHeight="1">
      <c r="B69" s="76" t="s">
        <v>107</v>
      </c>
      <c r="C69" s="76" t="s">
        <v>177</v>
      </c>
      <c r="F69" s="16" t="s">
        <v>270</v>
      </c>
      <c r="G69" s="16">
        <f>'Basic inputs'!E43-(G68/2)</f>
        <v>2145</v>
      </c>
      <c r="H69" s="16">
        <f>'Monthly changes'!E36-(H68/2)</f>
        <v>1865</v>
      </c>
    </row>
    <row r="70" spans="2:13" ht="15.75" customHeight="1">
      <c r="B70" s="76" t="s">
        <v>108</v>
      </c>
      <c r="C70" s="76" t="s">
        <v>177</v>
      </c>
      <c r="F70" s="16" t="s">
        <v>271</v>
      </c>
      <c r="G70" s="16">
        <f>IF(G53="Yes",G69,MIN(G69,P48))</f>
        <v>2145</v>
      </c>
      <c r="H70" s="16">
        <f>IF(H53="Yes",H69,MIN(H69,Q48))</f>
        <v>1865</v>
      </c>
    </row>
    <row r="71" spans="2:13" ht="15.75" customHeight="1">
      <c r="B71" s="76" t="s">
        <v>109</v>
      </c>
      <c r="C71" s="76" t="s">
        <v>177</v>
      </c>
      <c r="F71" s="16" t="s">
        <v>273</v>
      </c>
      <c r="G71" s="16">
        <f>G68-G70</f>
        <v>-1915</v>
      </c>
      <c r="H71" s="16">
        <f>H68-H70</f>
        <v>-1075</v>
      </c>
    </row>
    <row r="72" spans="2:13" ht="15.75" customHeight="1">
      <c r="B72" s="76" t="s">
        <v>110</v>
      </c>
      <c r="C72" s="76" t="s">
        <v>177</v>
      </c>
      <c r="F72" s="16" t="s">
        <v>276</v>
      </c>
      <c r="G72" s="16">
        <f>INDEX(J49:L56,MATCH('Basic inputs'!D17,J49:J56),3)</f>
        <v>2399</v>
      </c>
      <c r="H72" s="16">
        <f>INDEX(J49:L56,MATCH('Monthly changes'!E13,J49:J56),3)</f>
        <v>2399</v>
      </c>
    </row>
    <row r="73" spans="2:13" ht="15.75" customHeight="1">
      <c r="B73" s="76" t="s">
        <v>111</v>
      </c>
      <c r="C73" s="76" t="s">
        <v>177</v>
      </c>
      <c r="F73" s="16" t="s">
        <v>274</v>
      </c>
      <c r="G73" s="16" t="str">
        <f>IF(G61="Yes",IF(G71&lt;G72,"Yes","No"),"N/A")</f>
        <v>Yes</v>
      </c>
      <c r="H73" s="16" t="str">
        <f>IF(H61="Yes",IF(H71&lt;H72,"Yes","No"),"N/A")</f>
        <v>Yes</v>
      </c>
    </row>
    <row r="74" spans="2:13" ht="15.75" customHeight="1">
      <c r="B74" s="76" t="s">
        <v>112</v>
      </c>
      <c r="C74" s="76" t="s">
        <v>177</v>
      </c>
    </row>
    <row r="75" spans="2:13" ht="15.75" customHeight="1">
      <c r="B75" s="76" t="s">
        <v>113</v>
      </c>
      <c r="C75" s="76" t="s">
        <v>177</v>
      </c>
      <c r="F75" s="16" t="s">
        <v>277</v>
      </c>
      <c r="G75" s="16" t="str">
        <f>IF(G73="Yes",IF(G71&gt;0,G76-(G71*0.3),G76),0)</f>
        <v>$   760</v>
      </c>
      <c r="H75" s="16" t="str">
        <f>IF(H73="Yes",IF(H71&gt;0,H76-(H71*0.3),H76),0)</f>
        <v>$   760</v>
      </c>
    </row>
    <row r="76" spans="2:13" ht="15.75" customHeight="1">
      <c r="B76" s="76" t="s">
        <v>114</v>
      </c>
      <c r="C76" s="76" t="s">
        <v>177</v>
      </c>
      <c r="F76" s="16" t="s">
        <v>286</v>
      </c>
      <c r="G76" s="16" t="str">
        <f>INDEX(J49:N56,MATCH('Basic inputs'!D17,J49:J56),5)</f>
        <v>$   760</v>
      </c>
      <c r="H76" s="16" t="str">
        <f>INDEX(J49:N56,MATCH('Monthly changes'!E13,J49:J56),5)</f>
        <v>$   760</v>
      </c>
    </row>
    <row r="77" spans="2:13" ht="15.75" customHeight="1">
      <c r="B77" s="76" t="s">
        <v>115</v>
      </c>
      <c r="C77" s="76" t="s">
        <v>177</v>
      </c>
    </row>
    <row r="78" spans="2:13" ht="15.75" customHeight="1">
      <c r="B78" s="76" t="s">
        <v>116</v>
      </c>
      <c r="C78" s="76" t="s">
        <v>177</v>
      </c>
    </row>
    <row r="79" spans="2:13" ht="15.75" customHeight="1">
      <c r="B79" s="76" t="s">
        <v>117</v>
      </c>
      <c r="C79" s="76" t="s">
        <v>177</v>
      </c>
      <c r="F79" s="201" t="s">
        <v>381</v>
      </c>
      <c r="G79" s="201"/>
      <c r="H79" s="201"/>
      <c r="I79" s="201"/>
      <c r="J79" s="201"/>
      <c r="K79" s="201"/>
      <c r="L79" s="201"/>
      <c r="M79" s="201"/>
    </row>
    <row r="80" spans="2:13" ht="15.75" customHeight="1">
      <c r="B80" s="76" t="s">
        <v>118</v>
      </c>
      <c r="C80" s="76" t="s">
        <v>177</v>
      </c>
      <c r="F80" t="s">
        <v>28</v>
      </c>
      <c r="G80" s="5" t="s">
        <v>29</v>
      </c>
      <c r="H80"/>
    </row>
    <row r="81" spans="2:13" ht="15.75" customHeight="1">
      <c r="B81" s="76" t="s">
        <v>119</v>
      </c>
      <c r="C81" s="76" t="s">
        <v>177</v>
      </c>
      <c r="F81" t="s">
        <v>29</v>
      </c>
      <c r="G81" s="5" t="s">
        <v>30</v>
      </c>
      <c r="H81"/>
    </row>
    <row r="82" spans="2:13" ht="15.75" customHeight="1">
      <c r="B82" s="76" t="s">
        <v>120</v>
      </c>
      <c r="C82" s="76" t="s">
        <v>177</v>
      </c>
      <c r="F82" t="s">
        <v>30</v>
      </c>
      <c r="G82" s="5" t="s">
        <v>31</v>
      </c>
      <c r="H82"/>
    </row>
    <row r="83" spans="2:13" ht="15.75" customHeight="1">
      <c r="B83" s="76" t="s">
        <v>122</v>
      </c>
      <c r="C83" s="76" t="s">
        <v>177</v>
      </c>
      <c r="F83" t="s">
        <v>31</v>
      </c>
      <c r="G83" s="5" t="s">
        <v>32</v>
      </c>
      <c r="H83"/>
    </row>
    <row r="84" spans="2:13" ht="15.75" customHeight="1">
      <c r="B84" s="76" t="s">
        <v>121</v>
      </c>
      <c r="C84" s="76" t="s">
        <v>177</v>
      </c>
      <c r="F84" t="s">
        <v>32</v>
      </c>
      <c r="G84" s="5" t="s">
        <v>33</v>
      </c>
      <c r="H84"/>
    </row>
    <row r="85" spans="2:13" ht="15.75" customHeight="1">
      <c r="B85" s="76" t="s">
        <v>123</v>
      </c>
      <c r="C85" s="76" t="s">
        <v>177</v>
      </c>
      <c r="F85" t="s">
        <v>33</v>
      </c>
      <c r="G85" s="5" t="s">
        <v>34</v>
      </c>
      <c r="H85"/>
    </row>
    <row r="86" spans="2:13" ht="15.75" customHeight="1">
      <c r="B86" s="76" t="s">
        <v>124</v>
      </c>
      <c r="C86" s="76" t="s">
        <v>177</v>
      </c>
      <c r="F86" t="s">
        <v>34</v>
      </c>
      <c r="G86" s="5" t="s">
        <v>35</v>
      </c>
      <c r="H86"/>
    </row>
    <row r="87" spans="2:13" ht="15.75" customHeight="1">
      <c r="B87" s="76" t="s">
        <v>125</v>
      </c>
      <c r="C87" s="76" t="s">
        <v>177</v>
      </c>
      <c r="F87" t="s">
        <v>35</v>
      </c>
      <c r="G87" s="5" t="s">
        <v>36</v>
      </c>
      <c r="H87"/>
    </row>
    <row r="88" spans="2:13" ht="15.75" customHeight="1">
      <c r="B88" s="76" t="s">
        <v>126</v>
      </c>
      <c r="C88" s="76" t="s">
        <v>177</v>
      </c>
      <c r="F88" t="s">
        <v>36</v>
      </c>
      <c r="G88" s="5" t="s">
        <v>37</v>
      </c>
      <c r="H88"/>
    </row>
    <row r="89" spans="2:13" ht="15.75" customHeight="1">
      <c r="B89" s="76" t="s">
        <v>127</v>
      </c>
      <c r="C89" s="76" t="s">
        <v>177</v>
      </c>
      <c r="F89" t="s">
        <v>37</v>
      </c>
      <c r="G89" s="5" t="s">
        <v>38</v>
      </c>
      <c r="H89"/>
    </row>
    <row r="90" spans="2:13" ht="15.75" customHeight="1">
      <c r="B90" s="76" t="s">
        <v>128</v>
      </c>
      <c r="C90" s="76" t="s">
        <v>177</v>
      </c>
      <c r="F90" t="s">
        <v>38</v>
      </c>
      <c r="G90" s="5" t="s">
        <v>39</v>
      </c>
      <c r="H90"/>
    </row>
    <row r="91" spans="2:13" ht="15.75" customHeight="1">
      <c r="B91" s="76" t="s">
        <v>129</v>
      </c>
      <c r="C91" s="76" t="s">
        <v>177</v>
      </c>
      <c r="F91" t="s">
        <v>39</v>
      </c>
      <c r="G91" s="5" t="s">
        <v>28</v>
      </c>
      <c r="H91"/>
    </row>
    <row r="92" spans="2:13" ht="15.75" customHeight="1">
      <c r="B92" s="76" t="s">
        <v>130</v>
      </c>
      <c r="C92" s="76" t="s">
        <v>177</v>
      </c>
    </row>
    <row r="93" spans="2:13" ht="15.75" customHeight="1">
      <c r="B93" s="76" t="s">
        <v>131</v>
      </c>
      <c r="C93" s="76" t="s">
        <v>177</v>
      </c>
    </row>
    <row r="94" spans="2:13" ht="15.75" customHeight="1">
      <c r="B94" s="76" t="s">
        <v>132</v>
      </c>
      <c r="C94" s="76" t="s">
        <v>177</v>
      </c>
      <c r="F94" s="201" t="s">
        <v>380</v>
      </c>
      <c r="G94" s="201"/>
      <c r="H94" s="201"/>
      <c r="I94" s="201"/>
      <c r="J94" s="201"/>
      <c r="K94" s="201"/>
      <c r="L94" s="201"/>
      <c r="M94" s="201"/>
    </row>
    <row r="95" spans="2:13" ht="15.75" customHeight="1">
      <c r="B95" s="76" t="s">
        <v>133</v>
      </c>
      <c r="C95" s="76" t="s">
        <v>177</v>
      </c>
      <c r="J95" s="16" t="s">
        <v>1</v>
      </c>
    </row>
    <row r="96" spans="2:13" ht="15.75" customHeight="1">
      <c r="B96" s="76" t="s">
        <v>134</v>
      </c>
      <c r="C96" s="76" t="s">
        <v>177</v>
      </c>
      <c r="F96" s="16">
        <v>1</v>
      </c>
      <c r="J96" s="16" t="s">
        <v>344</v>
      </c>
    </row>
    <row r="97" spans="2:6" ht="15.75" customHeight="1">
      <c r="B97" s="76" t="s">
        <v>135</v>
      </c>
      <c r="C97" s="76" t="s">
        <v>177</v>
      </c>
      <c r="F97" s="16">
        <v>2</v>
      </c>
    </row>
    <row r="98" spans="2:6" ht="15.75" customHeight="1">
      <c r="B98" s="76" t="s">
        <v>136</v>
      </c>
      <c r="C98" s="76" t="s">
        <v>177</v>
      </c>
      <c r="F98" s="16">
        <v>3</v>
      </c>
    </row>
    <row r="99" spans="2:6" ht="15.75" customHeight="1">
      <c r="B99" s="76" t="s">
        <v>137</v>
      </c>
      <c r="C99" s="76" t="s">
        <v>177</v>
      </c>
      <c r="F99" s="16">
        <v>4</v>
      </c>
    </row>
    <row r="100" spans="2:6" ht="15.75" customHeight="1">
      <c r="B100" s="76" t="s">
        <v>138</v>
      </c>
      <c r="C100" s="76" t="s">
        <v>177</v>
      </c>
      <c r="F100" s="16">
        <v>5</v>
      </c>
    </row>
    <row r="101" spans="2:6" ht="15.75" customHeight="1">
      <c r="B101" s="76" t="s">
        <v>139</v>
      </c>
      <c r="C101" s="76" t="s">
        <v>177</v>
      </c>
      <c r="F101" s="16">
        <v>6</v>
      </c>
    </row>
    <row r="102" spans="2:6" ht="15.75" customHeight="1">
      <c r="B102" s="76" t="s">
        <v>140</v>
      </c>
      <c r="C102" s="76" t="s">
        <v>177</v>
      </c>
      <c r="F102" s="16">
        <v>7</v>
      </c>
    </row>
    <row r="103" spans="2:6" ht="15.75" customHeight="1">
      <c r="B103" s="76" t="s">
        <v>141</v>
      </c>
      <c r="C103" s="76" t="s">
        <v>177</v>
      </c>
      <c r="F103" s="16">
        <v>8</v>
      </c>
    </row>
    <row r="104" spans="2:6" ht="15.75" customHeight="1">
      <c r="B104" s="76" t="s">
        <v>142</v>
      </c>
      <c r="C104" s="76" t="s">
        <v>177</v>
      </c>
      <c r="F104" s="16">
        <v>9</v>
      </c>
    </row>
    <row r="105" spans="2:6" ht="15.75" customHeight="1">
      <c r="B105" s="76" t="s">
        <v>143</v>
      </c>
      <c r="C105" s="76" t="s">
        <v>177</v>
      </c>
      <c r="F105" s="16">
        <v>10</v>
      </c>
    </row>
    <row r="106" spans="2:6" ht="15.75" customHeight="1">
      <c r="B106" s="76" t="s">
        <v>144</v>
      </c>
      <c r="C106" s="76" t="s">
        <v>177</v>
      </c>
      <c r="F106" s="16">
        <v>11</v>
      </c>
    </row>
    <row r="107" spans="2:6" ht="15.75" customHeight="1">
      <c r="B107" s="76" t="s">
        <v>145</v>
      </c>
      <c r="C107" s="76" t="s">
        <v>177</v>
      </c>
      <c r="F107" s="16">
        <v>12</v>
      </c>
    </row>
    <row r="108" spans="2:6" ht="15.75" customHeight="1">
      <c r="B108" s="76" t="s">
        <v>146</v>
      </c>
      <c r="C108" s="76" t="s">
        <v>177</v>
      </c>
      <c r="F108" s="16">
        <v>13</v>
      </c>
    </row>
    <row r="109" spans="2:6" ht="15.75" customHeight="1">
      <c r="B109" s="76" t="s">
        <v>147</v>
      </c>
      <c r="C109" s="76" t="s">
        <v>177</v>
      </c>
      <c r="F109" s="16">
        <v>14</v>
      </c>
    </row>
    <row r="110" spans="2:6" ht="15.75" customHeight="1">
      <c r="B110" s="76" t="s">
        <v>148</v>
      </c>
      <c r="C110" s="76" t="s">
        <v>177</v>
      </c>
      <c r="F110" s="16">
        <v>15</v>
      </c>
    </row>
    <row r="111" spans="2:6" ht="15.75" customHeight="1">
      <c r="B111" s="76" t="s">
        <v>149</v>
      </c>
      <c r="C111" s="76" t="s">
        <v>177</v>
      </c>
      <c r="F111" s="16">
        <v>16</v>
      </c>
    </row>
    <row r="112" spans="2:6" ht="15.75" customHeight="1">
      <c r="B112" s="76" t="s">
        <v>150</v>
      </c>
      <c r="C112" s="76" t="s">
        <v>177</v>
      </c>
      <c r="F112" s="16">
        <v>17</v>
      </c>
    </row>
    <row r="113" spans="2:6" ht="15.75" customHeight="1">
      <c r="B113" s="76" t="s">
        <v>151</v>
      </c>
      <c r="C113" s="76" t="s">
        <v>177</v>
      </c>
      <c r="F113" s="16">
        <v>18</v>
      </c>
    </row>
    <row r="114" spans="2:6" ht="15.75" customHeight="1">
      <c r="B114" s="76" t="s">
        <v>152</v>
      </c>
      <c r="C114" s="76" t="s">
        <v>177</v>
      </c>
      <c r="F114" s="16">
        <v>19</v>
      </c>
    </row>
    <row r="115" spans="2:6" ht="15.75" customHeight="1">
      <c r="B115" s="76" t="s">
        <v>153</v>
      </c>
      <c r="C115" s="76" t="s">
        <v>177</v>
      </c>
      <c r="F115" s="16">
        <v>20</v>
      </c>
    </row>
    <row r="116" spans="2:6" ht="15.75" customHeight="1">
      <c r="B116" s="76" t="s">
        <v>154</v>
      </c>
      <c r="C116" s="76" t="s">
        <v>177</v>
      </c>
      <c r="F116" s="16">
        <v>21</v>
      </c>
    </row>
    <row r="117" spans="2:6" ht="15.75" customHeight="1">
      <c r="B117" s="76" t="s">
        <v>155</v>
      </c>
      <c r="C117" s="76" t="s">
        <v>177</v>
      </c>
      <c r="F117" s="16">
        <v>22</v>
      </c>
    </row>
    <row r="118" spans="2:6" ht="15.75" customHeight="1">
      <c r="B118" s="76" t="s">
        <v>156</v>
      </c>
      <c r="C118" s="76" t="s">
        <v>177</v>
      </c>
      <c r="F118" s="16">
        <v>23</v>
      </c>
    </row>
    <row r="119" spans="2:6" ht="15.75" customHeight="1">
      <c r="B119" s="76" t="s">
        <v>157</v>
      </c>
      <c r="C119" s="76" t="s">
        <v>177</v>
      </c>
      <c r="F119" s="16">
        <v>24</v>
      </c>
    </row>
    <row r="120" spans="2:6" ht="15.75" customHeight="1">
      <c r="B120" s="76" t="s">
        <v>158</v>
      </c>
      <c r="C120" s="76" t="s">
        <v>177</v>
      </c>
      <c r="F120" s="16">
        <v>25</v>
      </c>
    </row>
    <row r="121" spans="2:6" ht="15.75" customHeight="1">
      <c r="B121" s="76" t="s">
        <v>159</v>
      </c>
      <c r="C121" s="76" t="s">
        <v>177</v>
      </c>
      <c r="F121" s="16">
        <v>26</v>
      </c>
    </row>
    <row r="122" spans="2:6" ht="15.75" customHeight="1">
      <c r="B122" s="76" t="s">
        <v>160</v>
      </c>
      <c r="C122" s="76" t="s">
        <v>177</v>
      </c>
      <c r="F122" s="16">
        <v>27</v>
      </c>
    </row>
    <row r="123" spans="2:6" ht="15.75" customHeight="1">
      <c r="B123" s="76" t="s">
        <v>161</v>
      </c>
      <c r="C123" s="76" t="s">
        <v>177</v>
      </c>
      <c r="F123" s="16">
        <v>28</v>
      </c>
    </row>
    <row r="124" spans="2:6" ht="15.75" customHeight="1">
      <c r="B124" s="76" t="s">
        <v>162</v>
      </c>
      <c r="C124" s="76" t="s">
        <v>177</v>
      </c>
      <c r="F124" s="16">
        <v>29</v>
      </c>
    </row>
    <row r="125" spans="2:6" ht="15.75" customHeight="1">
      <c r="B125" s="76" t="s">
        <v>163</v>
      </c>
      <c r="C125" s="76" t="s">
        <v>177</v>
      </c>
      <c r="F125" s="16">
        <v>30</v>
      </c>
    </row>
    <row r="126" spans="2:6" ht="15.75" customHeight="1">
      <c r="B126" s="76" t="s">
        <v>164</v>
      </c>
      <c r="C126" s="76" t="s">
        <v>177</v>
      </c>
      <c r="F126" s="16">
        <v>31</v>
      </c>
    </row>
    <row r="127" spans="2:6" ht="15.75" customHeight="1">
      <c r="B127" s="76" t="s">
        <v>165</v>
      </c>
      <c r="C127" s="76" t="s">
        <v>177</v>
      </c>
      <c r="F127" s="16">
        <v>32</v>
      </c>
    </row>
    <row r="128" spans="2:6" ht="15.75" customHeight="1">
      <c r="B128" s="76" t="s">
        <v>166</v>
      </c>
      <c r="C128" s="76" t="s">
        <v>177</v>
      </c>
      <c r="F128" s="16">
        <v>33</v>
      </c>
    </row>
    <row r="129" spans="2:6" ht="15.75" customHeight="1">
      <c r="B129" s="76" t="s">
        <v>167</v>
      </c>
      <c r="C129" s="76" t="s">
        <v>177</v>
      </c>
      <c r="F129" s="16">
        <v>34</v>
      </c>
    </row>
    <row r="130" spans="2:6" ht="15.75" customHeight="1">
      <c r="B130" s="76" t="s">
        <v>168</v>
      </c>
      <c r="C130" s="76" t="s">
        <v>177</v>
      </c>
      <c r="F130" s="16">
        <v>35</v>
      </c>
    </row>
    <row r="131" spans="2:6" ht="15.75" customHeight="1">
      <c r="B131" s="76" t="s">
        <v>169</v>
      </c>
      <c r="C131" s="76" t="s">
        <v>177</v>
      </c>
      <c r="F131" s="16">
        <v>36</v>
      </c>
    </row>
    <row r="132" spans="2:6" ht="15.75" customHeight="1">
      <c r="B132" s="76" t="s">
        <v>170</v>
      </c>
      <c r="C132" s="76" t="s">
        <v>177</v>
      </c>
    </row>
    <row r="133" spans="2:6" ht="15.75" customHeight="1">
      <c r="B133" s="76" t="s">
        <v>171</v>
      </c>
      <c r="C133" s="76" t="s">
        <v>177</v>
      </c>
    </row>
    <row r="134" spans="2:6" ht="15.75" customHeight="1">
      <c r="B134" s="76" t="s">
        <v>172</v>
      </c>
      <c r="C134" s="76" t="s">
        <v>177</v>
      </c>
    </row>
    <row r="135" spans="2:6" ht="15.75" customHeight="1">
      <c r="B135" s="76" t="s">
        <v>173</v>
      </c>
      <c r="C135" s="76" t="s">
        <v>177</v>
      </c>
    </row>
    <row r="136" spans="2:6" ht="15.75" customHeight="1">
      <c r="B136" s="76" t="s">
        <v>174</v>
      </c>
      <c r="C136" s="76" t="s">
        <v>177</v>
      </c>
    </row>
    <row r="137" spans="2:6" ht="15.75" customHeight="1">
      <c r="B137" s="76" t="s">
        <v>175</v>
      </c>
      <c r="C137" s="76" t="s">
        <v>177</v>
      </c>
    </row>
    <row r="138" spans="2:6" ht="15.75" customHeight="1">
      <c r="B138" s="76" t="s">
        <v>176</v>
      </c>
      <c r="C138" s="76" t="s">
        <v>177</v>
      </c>
    </row>
    <row r="139" spans="2:6" ht="15.75" customHeight="1">
      <c r="B139" s="76" t="s">
        <v>178</v>
      </c>
      <c r="C139" s="76" t="s">
        <v>212</v>
      </c>
    </row>
    <row r="140" spans="2:6" ht="15.75" customHeight="1">
      <c r="B140" s="76" t="s">
        <v>179</v>
      </c>
      <c r="C140" s="76" t="s">
        <v>212</v>
      </c>
    </row>
    <row r="141" spans="2:6" ht="15.75" customHeight="1">
      <c r="B141" s="76" t="s">
        <v>180</v>
      </c>
      <c r="C141" s="76" t="s">
        <v>212</v>
      </c>
    </row>
    <row r="142" spans="2:6" ht="15.75" customHeight="1">
      <c r="B142" s="76" t="s">
        <v>181</v>
      </c>
      <c r="C142" s="76" t="s">
        <v>212</v>
      </c>
    </row>
    <row r="143" spans="2:6" ht="15.75" customHeight="1">
      <c r="B143" s="76" t="s">
        <v>182</v>
      </c>
      <c r="C143" s="76" t="s">
        <v>212</v>
      </c>
    </row>
    <row r="144" spans="2:6" ht="15.75" customHeight="1">
      <c r="B144" s="76" t="s">
        <v>183</v>
      </c>
      <c r="C144" s="76" t="s">
        <v>212</v>
      </c>
    </row>
    <row r="145" spans="2:3" ht="15.75" customHeight="1">
      <c r="B145" s="76" t="s">
        <v>184</v>
      </c>
      <c r="C145" s="76" t="s">
        <v>212</v>
      </c>
    </row>
    <row r="146" spans="2:3" ht="15.75" customHeight="1">
      <c r="B146" s="76" t="s">
        <v>185</v>
      </c>
      <c r="C146" s="76" t="s">
        <v>212</v>
      </c>
    </row>
    <row r="147" spans="2:3" ht="15.75" customHeight="1">
      <c r="B147" s="76" t="s">
        <v>186</v>
      </c>
      <c r="C147" s="76" t="s">
        <v>212</v>
      </c>
    </row>
    <row r="148" spans="2:3" ht="15.75" customHeight="1">
      <c r="B148" s="76" t="s">
        <v>187</v>
      </c>
      <c r="C148" s="76" t="s">
        <v>212</v>
      </c>
    </row>
    <row r="149" spans="2:3" ht="15.75" customHeight="1">
      <c r="B149" s="76" t="s">
        <v>188</v>
      </c>
      <c r="C149" s="76" t="s">
        <v>212</v>
      </c>
    </row>
    <row r="150" spans="2:3" ht="15.75" customHeight="1">
      <c r="B150" s="76" t="s">
        <v>189</v>
      </c>
      <c r="C150" s="76" t="s">
        <v>212</v>
      </c>
    </row>
    <row r="151" spans="2:3" ht="15.75" customHeight="1">
      <c r="B151" s="76" t="s">
        <v>190</v>
      </c>
      <c r="C151" s="76" t="s">
        <v>212</v>
      </c>
    </row>
    <row r="152" spans="2:3" ht="15.75" customHeight="1">
      <c r="B152" s="76" t="s">
        <v>191</v>
      </c>
      <c r="C152" s="76" t="s">
        <v>212</v>
      </c>
    </row>
    <row r="153" spans="2:3" ht="15.75" customHeight="1">
      <c r="B153" s="76" t="s">
        <v>192</v>
      </c>
      <c r="C153" s="76" t="s">
        <v>212</v>
      </c>
    </row>
    <row r="154" spans="2:3" ht="15.75" customHeight="1">
      <c r="B154" s="76" t="s">
        <v>193</v>
      </c>
      <c r="C154" s="76" t="s">
        <v>212</v>
      </c>
    </row>
    <row r="155" spans="2:3" ht="15.75" customHeight="1">
      <c r="B155" s="76" t="s">
        <v>194</v>
      </c>
      <c r="C155" s="76" t="s">
        <v>212</v>
      </c>
    </row>
    <row r="156" spans="2:3" ht="15.75" customHeight="1">
      <c r="B156" s="76" t="s">
        <v>195</v>
      </c>
      <c r="C156" s="76" t="s">
        <v>212</v>
      </c>
    </row>
    <row r="157" spans="2:3" ht="15.75" customHeight="1">
      <c r="B157" s="76" t="s">
        <v>196</v>
      </c>
      <c r="C157" s="76" t="s">
        <v>212</v>
      </c>
    </row>
    <row r="158" spans="2:3" ht="15.75" customHeight="1">
      <c r="B158" s="76" t="s">
        <v>197</v>
      </c>
      <c r="C158" s="76" t="s">
        <v>212</v>
      </c>
    </row>
    <row r="159" spans="2:3" ht="15.75" customHeight="1">
      <c r="B159" s="76" t="s">
        <v>198</v>
      </c>
      <c r="C159" s="76" t="s">
        <v>212</v>
      </c>
    </row>
    <row r="160" spans="2:3" ht="15.75" customHeight="1">
      <c r="B160" s="76" t="s">
        <v>199</v>
      </c>
      <c r="C160" s="76" t="s">
        <v>212</v>
      </c>
    </row>
    <row r="161" spans="2:3" ht="15.75" customHeight="1">
      <c r="B161" s="76" t="s">
        <v>200</v>
      </c>
      <c r="C161" s="76" t="s">
        <v>212</v>
      </c>
    </row>
    <row r="162" spans="2:3" ht="15.75" customHeight="1">
      <c r="B162" s="76" t="s">
        <v>201</v>
      </c>
      <c r="C162" s="76" t="s">
        <v>212</v>
      </c>
    </row>
    <row r="163" spans="2:3" ht="15.75" customHeight="1">
      <c r="B163" s="76" t="s">
        <v>202</v>
      </c>
      <c r="C163" s="76" t="s">
        <v>212</v>
      </c>
    </row>
    <row r="164" spans="2:3" ht="15.75" customHeight="1">
      <c r="B164" s="76" t="s">
        <v>203</v>
      </c>
      <c r="C164" s="76" t="s">
        <v>212</v>
      </c>
    </row>
    <row r="165" spans="2:3" ht="15.75" customHeight="1">
      <c r="B165" s="76" t="s">
        <v>204</v>
      </c>
      <c r="C165" s="76" t="s">
        <v>212</v>
      </c>
    </row>
    <row r="166" spans="2:3" ht="15.75" customHeight="1">
      <c r="B166" s="76" t="s">
        <v>205</v>
      </c>
      <c r="C166" s="76" t="s">
        <v>212</v>
      </c>
    </row>
    <row r="167" spans="2:3" ht="15.75" customHeight="1">
      <c r="B167" s="76" t="s">
        <v>206</v>
      </c>
      <c r="C167" s="76" t="s">
        <v>212</v>
      </c>
    </row>
    <row r="168" spans="2:3" ht="15.75" customHeight="1">
      <c r="B168" s="76" t="s">
        <v>207</v>
      </c>
      <c r="C168" s="76" t="s">
        <v>212</v>
      </c>
    </row>
    <row r="169" spans="2:3" ht="15.75" customHeight="1">
      <c r="B169" s="76" t="s">
        <v>208</v>
      </c>
      <c r="C169" s="76" t="s">
        <v>212</v>
      </c>
    </row>
    <row r="170" spans="2:3" ht="15.75" customHeight="1">
      <c r="B170" s="76" t="s">
        <v>209</v>
      </c>
      <c r="C170" s="76" t="s">
        <v>212</v>
      </c>
    </row>
    <row r="171" spans="2:3" ht="15.75" customHeight="1">
      <c r="B171" s="76" t="s">
        <v>210</v>
      </c>
      <c r="C171" s="76" t="s">
        <v>212</v>
      </c>
    </row>
    <row r="172" spans="2:3" ht="15.75" customHeight="1">
      <c r="B172" s="76" t="s">
        <v>211</v>
      </c>
      <c r="C172" s="76" t="s">
        <v>212</v>
      </c>
    </row>
  </sheetData>
  <sheetProtection password="CFA5" sheet="1" objects="1" scenarios="1" selectLockedCells="1" selectUnlockedCells="1"/>
  <mergeCells count="30">
    <mergeCell ref="E1:H1"/>
    <mergeCell ref="J3:K3"/>
    <mergeCell ref="J14:K14"/>
    <mergeCell ref="E47:H47"/>
    <mergeCell ref="E48:H48"/>
    <mergeCell ref="J22:K22"/>
    <mergeCell ref="E14:H14"/>
    <mergeCell ref="E17:H17"/>
    <mergeCell ref="E18:H18"/>
    <mergeCell ref="F16:H16"/>
    <mergeCell ref="E19:H19"/>
    <mergeCell ref="F26:H26"/>
    <mergeCell ref="E27:H27"/>
    <mergeCell ref="F4:H4"/>
    <mergeCell ref="F94:M94"/>
    <mergeCell ref="B3:C3"/>
    <mergeCell ref="F23:H23"/>
    <mergeCell ref="F25:H25"/>
    <mergeCell ref="F24:H24"/>
    <mergeCell ref="E22:H22"/>
    <mergeCell ref="F3:H3"/>
    <mergeCell ref="E50:H50"/>
    <mergeCell ref="J31:L31"/>
    <mergeCell ref="E31:H31"/>
    <mergeCell ref="E32:H32"/>
    <mergeCell ref="E33:H33"/>
    <mergeCell ref="E34:H34"/>
    <mergeCell ref="J47:N47"/>
    <mergeCell ref="F79:M79"/>
    <mergeCell ref="E49:H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Basic inputs</vt:lpstr>
      <vt:lpstr>Budget (Base)</vt:lpstr>
      <vt:lpstr>Budget (Blank)</vt:lpstr>
      <vt:lpstr>Monthly changes</vt:lpstr>
      <vt:lpstr>Calculations (INTERNAL)</vt:lpstr>
      <vt:lpstr>'Budget (Base)'!January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Jvaneel Parekh</dc:creator>
  <cp:lastModifiedBy>Greg Marino</cp:lastModifiedBy>
  <dcterms:created xsi:type="dcterms:W3CDTF">2017-12-22T19:18:34Z</dcterms:created>
  <dcterms:modified xsi:type="dcterms:W3CDTF">2021-03-01T17:13:18Z</dcterms:modified>
</cp:coreProperties>
</file>